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_조성곤_160523\02_진흥원시설\0 내부결재 문서기안\1.1경비청소통합관리용역입찰공고(2024)\2024_1 입찰준비 10월\0_입찰공고_2024\"/>
    </mc:Choice>
  </mc:AlternateContent>
  <xr:revisionPtr revIDLastSave="0" documentId="13_ncr:1_{9A6BE75C-9F25-4507-A139-472F38EB5ABC}" xr6:coauthVersionLast="36" xr6:coauthVersionMax="47" xr10:uidLastSave="{00000000-0000-0000-0000-000000000000}"/>
  <bookViews>
    <workbookView xWindow="120" yWindow="300" windowWidth="28800" windowHeight="15600" tabRatio="998" activeTab="1" xr2:uid="{00000000-000D-0000-FFFF-FFFF00000000}"/>
  </bookViews>
  <sheets>
    <sheet name="2024용역내역(12월)" sheetId="15" r:id="rId1"/>
    <sheet name="2024직접노무비명세(12월)" sheetId="14" r:id="rId2"/>
  </sheets>
  <definedNames>
    <definedName name="_xlnm.Print_Area" localSheetId="0">'2024용역내역(12월)'!$B$1:$S$47</definedName>
    <definedName name="_xlnm.Print_Area" localSheetId="1">'2024직접노무비명세(12월)'!$A$1:$T$42</definedName>
  </definedNames>
  <calcPr calcId="191029"/>
</workbook>
</file>

<file path=xl/calcChain.xml><?xml version="1.0" encoding="utf-8"?>
<calcChain xmlns="http://schemas.openxmlformats.org/spreadsheetml/2006/main">
  <c r="E28" i="14" l="1"/>
  <c r="H27" i="15" l="1"/>
  <c r="G27" i="15"/>
  <c r="F27" i="15"/>
  <c r="J24" i="15"/>
  <c r="D12" i="14"/>
  <c r="D9" i="14"/>
  <c r="G35" i="15" l="1"/>
  <c r="H35" i="15"/>
  <c r="F35" i="15"/>
  <c r="F23" i="14" l="1"/>
  <c r="E23" i="14"/>
  <c r="D23" i="14"/>
  <c r="M13" i="14"/>
  <c r="I5" i="14"/>
  <c r="D6" i="14" s="1"/>
  <c r="D13" i="14" l="1"/>
  <c r="F6" i="14"/>
  <c r="E6" i="14"/>
  <c r="O11" i="14"/>
  <c r="O12" i="14" s="1"/>
  <c r="O13" i="14" s="1"/>
  <c r="F7" i="14" s="1"/>
  <c r="N11" i="14" l="1"/>
  <c r="J11" i="14"/>
  <c r="K11" i="14"/>
  <c r="L11" i="14"/>
  <c r="L12" i="14" s="1"/>
  <c r="I11" i="14"/>
  <c r="J12" i="14" l="1"/>
  <c r="J13" i="14" s="1"/>
  <c r="K12" i="14"/>
  <c r="K13" i="14" s="1"/>
  <c r="N12" i="14" l="1"/>
  <c r="N13" i="14" l="1"/>
  <c r="E7" i="14" s="1"/>
  <c r="N44" i="15"/>
  <c r="N45" i="15" s="1"/>
  <c r="N46" i="15" s="1"/>
  <c r="L27" i="15"/>
  <c r="M27" i="15" s="1"/>
  <c r="L13" i="14"/>
  <c r="I12" i="14"/>
  <c r="I13" i="14" s="1"/>
  <c r="D7" i="14" s="1"/>
  <c r="D11" i="14" l="1"/>
  <c r="F8" i="14"/>
  <c r="D8" i="14"/>
  <c r="E8" i="14"/>
  <c r="P7" i="14"/>
  <c r="E29" i="14" l="1"/>
  <c r="E30" i="14" s="1"/>
  <c r="E9" i="14"/>
  <c r="F9" i="14"/>
  <c r="D10" i="14"/>
  <c r="F10" i="14"/>
  <c r="D18" i="14" l="1"/>
  <c r="F36" i="15" s="1"/>
  <c r="D14" i="14"/>
  <c r="E10" i="14"/>
  <c r="E18" i="14"/>
  <c r="G36" i="15" s="1"/>
  <c r="F18" i="14"/>
  <c r="H36" i="15" s="1"/>
  <c r="F14" i="14"/>
  <c r="D15" i="14" l="1"/>
  <c r="E16" i="14"/>
  <c r="D16" i="14"/>
  <c r="E14" i="14"/>
  <c r="E15" i="14"/>
  <c r="F15" i="14"/>
  <c r="D17" i="14" l="1"/>
  <c r="F7" i="15" s="1"/>
  <c r="F16" i="14"/>
  <c r="D19" i="14"/>
  <c r="D21" i="14"/>
  <c r="K7" i="15" s="1"/>
  <c r="E17" i="14"/>
  <c r="G7" i="15" s="1"/>
  <c r="F18" i="15" l="1"/>
  <c r="F19" i="15"/>
  <c r="F24" i="15"/>
  <c r="F21" i="15"/>
  <c r="F13" i="15"/>
  <c r="F29" i="15" s="1"/>
  <c r="F15" i="15"/>
  <c r="F28" i="15"/>
  <c r="F17" i="14"/>
  <c r="F21" i="14" s="1"/>
  <c r="M7" i="15" s="1"/>
  <c r="E19" i="14"/>
  <c r="E21" i="14"/>
  <c r="L7" i="15" s="1"/>
  <c r="F19" i="14"/>
  <c r="H7" i="15"/>
  <c r="H12" i="15" s="1"/>
  <c r="G15" i="15" l="1"/>
  <c r="G19" i="15"/>
  <c r="G18" i="15"/>
  <c r="G13" i="15"/>
  <c r="G29" i="15" s="1"/>
  <c r="G21" i="15"/>
  <c r="G24" i="15"/>
  <c r="G28" i="15"/>
  <c r="H28" i="15"/>
  <c r="H19" i="15"/>
  <c r="H24" i="15"/>
  <c r="H15" i="15"/>
  <c r="H13" i="15"/>
  <c r="H29" i="15" s="1"/>
  <c r="H18" i="15"/>
  <c r="H21" i="15"/>
  <c r="G12" i="15"/>
  <c r="H31" i="15" l="1"/>
  <c r="H37" i="15" s="1"/>
  <c r="H38" i="15" l="1"/>
  <c r="H39" i="15" s="1"/>
  <c r="H40" i="15" s="1"/>
  <c r="G31" i="15"/>
  <c r="G37" i="15" s="1"/>
  <c r="H41" i="15" l="1"/>
  <c r="H42" i="15" s="1"/>
  <c r="G38" i="15"/>
  <c r="F12" i="15"/>
  <c r="G39" i="15" l="1"/>
  <c r="M18" i="15"/>
  <c r="O18" i="15" s="1"/>
  <c r="G40" i="15" l="1"/>
  <c r="G41" i="15" s="1"/>
  <c r="G42" i="15" s="1"/>
  <c r="M29" i="15"/>
  <c r="O29" i="15" s="1"/>
  <c r="M13" i="15"/>
  <c r="O13" i="15" s="1"/>
  <c r="F31" i="15" l="1"/>
  <c r="F37" i="15" s="1"/>
  <c r="F38" i="15" l="1"/>
  <c r="F39" i="15" l="1"/>
  <c r="F40" i="15" s="1"/>
  <c r="F41" i="15" s="1"/>
  <c r="F42" i="15" s="1"/>
  <c r="F43" i="15" s="1"/>
  <c r="F44" i="15" s="1"/>
  <c r="F45" i="15" l="1"/>
  <c r="K43" i="15" s="1"/>
  <c r="K44" i="15" l="1"/>
  <c r="K46" i="15"/>
  <c r="K45" i="15"/>
</calcChain>
</file>

<file path=xl/sharedStrings.xml><?xml version="1.0" encoding="utf-8"?>
<sst xmlns="http://schemas.openxmlformats.org/spreadsheetml/2006/main" count="265" uniqueCount="227">
  <si>
    <t>(단위:원/월)</t>
  </si>
  <si>
    <t>미화원</t>
  </si>
  <si>
    <t>비 고</t>
  </si>
  <si>
    <t>계</t>
  </si>
  <si>
    <t>비 목 구 분</t>
  </si>
  <si>
    <t>용역 원가</t>
  </si>
  <si>
    <t>용품비</t>
  </si>
  <si>
    <t>발주기관 현물지급</t>
  </si>
  <si>
    <t>소 계</t>
  </si>
  <si>
    <t>②노무비</t>
  </si>
  <si>
    <t>직접노무비</t>
  </si>
  <si>
    <t>&lt;표#1참조&gt;</t>
  </si>
  <si>
    <t>③보험료</t>
  </si>
  <si>
    <t>건강보험료</t>
  </si>
  <si>
    <t>국민건강보험법제69조</t>
  </si>
  <si>
    <t>산 재 보 험 료</t>
  </si>
  <si>
    <t>국 민 연 금</t>
  </si>
  <si>
    <t>고 용 보 험</t>
  </si>
  <si>
    <t>임금채권보장보험</t>
  </si>
  <si>
    <t>노인장기요양보험</t>
  </si>
  <si>
    <t>노인장기요양보험법제9조</t>
  </si>
  <si>
    <t>피복비</t>
  </si>
  <si>
    <t>⑤용 역 원 가</t>
  </si>
  <si>
    <t>[①+②+③+④]</t>
  </si>
  <si>
    <t>총 원 가(1인)</t>
  </si>
  <si>
    <r>
      <t>[⑤+⑥+⑦],</t>
    </r>
    <r>
      <rPr>
        <b/>
        <sz val="10"/>
        <color rgb="FFFF0000"/>
        <rFont val="맑은 고딕"/>
        <family val="3"/>
        <charset val="129"/>
      </rPr>
      <t>천단위절사</t>
    </r>
  </si>
  <si>
    <t>근로 인원별 합계(월)</t>
  </si>
  <si>
    <t>연간 용역비</t>
  </si>
  <si>
    <t>근로 인원별 합계*12개월</t>
  </si>
  <si>
    <t>총 금액</t>
  </si>
  <si>
    <t>석면피해구제분담금</t>
    <phoneticPr fontId="5" type="noConversion"/>
  </si>
  <si>
    <t>장애인고용부담금</t>
    <phoneticPr fontId="5" type="noConversion"/>
  </si>
  <si>
    <t>사업소득세</t>
    <phoneticPr fontId="5" type="noConversion"/>
  </si>
  <si>
    <t>보증보험</t>
    <phoneticPr fontId="5" type="noConversion"/>
  </si>
  <si>
    <t>지방세법(5/1000)</t>
    <phoneticPr fontId="5" type="noConversion"/>
  </si>
  <si>
    <t>및</t>
    <phoneticPr fontId="5" type="noConversion"/>
  </si>
  <si>
    <t>연금</t>
    <phoneticPr fontId="5" type="noConversion"/>
  </si>
  <si>
    <t>1년2착(하계/동계), 외부상근 피복별도</t>
    <phoneticPr fontId="5" type="noConversion"/>
  </si>
  <si>
    <t>&lt;표1&gt;</t>
    <phoneticPr fontId="5" type="noConversion"/>
  </si>
  <si>
    <t>직접노무비 단가(1인,1개월 기준) 명세서</t>
  </si>
  <si>
    <t>구 분</t>
  </si>
  <si>
    <t>비 목</t>
  </si>
  <si>
    <t>단순노무종사원</t>
  </si>
  <si>
    <t>시간/주</t>
    <phoneticPr fontId="5" type="noConversion"/>
  </si>
  <si>
    <t>1)기본급</t>
  </si>
  <si>
    <t>시중노임단가</t>
    <phoneticPr fontId="5" type="noConversion"/>
  </si>
  <si>
    <t>주휴일(유급휴일)</t>
  </si>
  <si>
    <t>비고</t>
    <phoneticPr fontId="5" type="noConversion"/>
  </si>
  <si>
    <t>[소계]월통상임금</t>
  </si>
  <si>
    <t>시간/1월</t>
    <phoneticPr fontId="5" type="noConversion"/>
  </si>
  <si>
    <t>과업지시서내용</t>
    <phoneticPr fontId="5" type="noConversion"/>
  </si>
  <si>
    <t>퇴직급여보장법제4조,제15조,근로기준법제34조</t>
    <phoneticPr fontId="5" type="noConversion"/>
  </si>
  <si>
    <t>(공고문 참조)</t>
    <phoneticPr fontId="5" type="noConversion"/>
  </si>
  <si>
    <t xml:space="preserve">낙찰률을 곱한 금액을 조정 없이 반영
</t>
    <phoneticPr fontId="5" type="noConversion"/>
  </si>
  <si>
    <t>낙찰률을 곱한 금액을 조정 없이 반영</t>
    <phoneticPr fontId="5" type="noConversion"/>
  </si>
  <si>
    <t>예정가격 반영 건강보험료등 사후정산금액</t>
    <phoneticPr fontId="5" type="noConversion"/>
  </si>
  <si>
    <t>최저시급</t>
    <phoneticPr fontId="5" type="noConversion"/>
  </si>
  <si>
    <t>소 계(①x②)</t>
    <phoneticPr fontId="5" type="noConversion"/>
  </si>
  <si>
    <t>1년일수</t>
    <phoneticPr fontId="5" type="noConversion"/>
  </si>
  <si>
    <t>주/1년</t>
    <phoneticPr fontId="5" type="noConversion"/>
  </si>
  <si>
    <t>시간/1년</t>
    <phoneticPr fontId="5" type="noConversion"/>
  </si>
  <si>
    <t>5일</t>
    <phoneticPr fontId="5" type="noConversion"/>
  </si>
  <si>
    <t>시간/1주</t>
    <phoneticPr fontId="5" type="noConversion"/>
  </si>
  <si>
    <t>임금채권보장기금사업주부담금비율고시</t>
    <phoneticPr fontId="5" type="noConversion"/>
  </si>
  <si>
    <t>주차원</t>
    <phoneticPr fontId="5" type="noConversion"/>
  </si>
  <si>
    <t>경비원</t>
    <phoneticPr fontId="5" type="noConversion"/>
  </si>
  <si>
    <t>미화원</t>
    <phoneticPr fontId="5" type="noConversion"/>
  </si>
  <si>
    <t>6시간</t>
    <phoneticPr fontId="5" type="noConversion"/>
  </si>
  <si>
    <t>휴일근로수당</t>
    <phoneticPr fontId="5" type="noConversion"/>
  </si>
  <si>
    <t>월-금</t>
    <phoneticPr fontId="5" type="noConversion"/>
  </si>
  <si>
    <t>1년만기 발생 연차</t>
    <phoneticPr fontId="5" type="noConversion"/>
  </si>
  <si>
    <t>16시30분</t>
    <phoneticPr fontId="5" type="noConversion"/>
  </si>
  <si>
    <t>8시간</t>
    <phoneticPr fontId="5" type="noConversion"/>
  </si>
  <si>
    <t>07시30분</t>
    <phoneticPr fontId="5" type="noConversion"/>
  </si>
  <si>
    <t>①기준단가(Hr)</t>
    <phoneticPr fontId="5" type="noConversion"/>
  </si>
  <si>
    <t>②월간근로시간</t>
    <phoneticPr fontId="5" type="noConversion"/>
  </si>
  <si>
    <t>07시</t>
    <phoneticPr fontId="5" type="noConversion"/>
  </si>
  <si>
    <t>14시</t>
    <phoneticPr fontId="5" type="noConversion"/>
  </si>
  <si>
    <t>16시30</t>
    <phoneticPr fontId="5" type="noConversion"/>
  </si>
  <si>
    <t>22시</t>
    <phoneticPr fontId="5" type="noConversion"/>
  </si>
  <si>
    <t>근로기준법26일11+15</t>
    <phoneticPr fontId="5" type="noConversion"/>
  </si>
  <si>
    <t>4)휴일근로수당</t>
    <phoneticPr fontId="5" type="noConversion"/>
  </si>
  <si>
    <t>휴게30분</t>
    <phoneticPr fontId="5" type="noConversion"/>
  </si>
  <si>
    <t>휴게1시간</t>
    <phoneticPr fontId="5" type="noConversion"/>
  </si>
  <si>
    <t>없음</t>
    <phoneticPr fontId="5" type="noConversion"/>
  </si>
  <si>
    <t>19시30분</t>
    <phoneticPr fontId="5" type="noConversion"/>
  </si>
  <si>
    <t>토</t>
    <phoneticPr fontId="5" type="noConversion"/>
  </si>
  <si>
    <t>1일</t>
    <phoneticPr fontId="5" type="noConversion"/>
  </si>
  <si>
    <t>3시간</t>
    <phoneticPr fontId="5" type="noConversion"/>
  </si>
  <si>
    <t>22시30</t>
    <phoneticPr fontId="5" type="noConversion"/>
  </si>
  <si>
    <t>야간</t>
    <phoneticPr fontId="5" type="noConversion"/>
  </si>
  <si>
    <t>0.5시간</t>
    <phoneticPr fontId="5" type="noConversion"/>
  </si>
  <si>
    <t>휴일</t>
    <phoneticPr fontId="5" type="noConversion"/>
  </si>
  <si>
    <t>1년 주로표시</t>
    <phoneticPr fontId="5" type="noConversion"/>
  </si>
  <si>
    <t>1달 주로표시</t>
    <phoneticPr fontId="5" type="noConversion"/>
  </si>
  <si>
    <t>단가*1달시간*1.5</t>
    <phoneticPr fontId="5" type="noConversion"/>
  </si>
  <si>
    <t>3)야간근로수당</t>
    <phoneticPr fontId="5" type="noConversion"/>
  </si>
  <si>
    <t>주휴제외휴일</t>
    <phoneticPr fontId="5" type="noConversion"/>
  </si>
  <si>
    <t>2)주휴수당(유급휴일)</t>
    <phoneticPr fontId="5" type="noConversion"/>
  </si>
  <si>
    <t>5.5시간</t>
    <phoneticPr fontId="5" type="noConversion"/>
  </si>
  <si>
    <t>(기본급+주휴수당)</t>
    <phoneticPr fontId="5" type="noConversion"/>
  </si>
  <si>
    <t>1) + 2)</t>
    <phoneticPr fontId="5" type="noConversion"/>
  </si>
  <si>
    <t>야간근로수당</t>
    <phoneticPr fontId="5" type="noConversion"/>
  </si>
  <si>
    <t>7)퇴직급여충당금</t>
    <phoneticPr fontId="5" type="noConversion"/>
  </si>
  <si>
    <t>6)연차수당11</t>
    <phoneticPr fontId="5" type="noConversion"/>
  </si>
  <si>
    <t>[소계]월법정수당</t>
    <phoneticPr fontId="5" type="noConversion"/>
  </si>
  <si>
    <t>(야근+휴근+주제휴+연차11)</t>
    <phoneticPr fontId="5" type="noConversion"/>
  </si>
  <si>
    <t>3)+4)+5)+6)</t>
    <phoneticPr fontId="5" type="noConversion"/>
  </si>
  <si>
    <t>연차수당11</t>
    <phoneticPr fontId="5" type="noConversion"/>
  </si>
  <si>
    <t>통상임금/월근*일근무시간*15/12</t>
    <phoneticPr fontId="5" type="noConversion"/>
  </si>
  <si>
    <t>8)연차수당15</t>
    <phoneticPr fontId="5" type="noConversion"/>
  </si>
  <si>
    <t>연차수당: 모든 수당을 포함한 (한달통상임금/한달근무시간)*1일근로시간*남은 연차일수</t>
    <phoneticPr fontId="5" type="noConversion"/>
  </si>
  <si>
    <t>5)주휴일제외휴일수당</t>
    <phoneticPr fontId="5" type="noConversion"/>
  </si>
  <si>
    <t>계)+8)</t>
    <phoneticPr fontId="5" type="noConversion"/>
  </si>
  <si>
    <t>총계</t>
    <phoneticPr fontId="5" type="noConversion"/>
  </si>
  <si>
    <t>[소]월통+[소]월법+7)</t>
    <phoneticPr fontId="5" type="noConversion"/>
  </si>
  <si>
    <t>계-7)</t>
    <phoneticPr fontId="5" type="noConversion"/>
  </si>
  <si>
    <t>7) 8) 제외 월 임금</t>
    <phoneticPr fontId="5" type="noConversion"/>
  </si>
  <si>
    <t>1년 근로시간</t>
    <phoneticPr fontId="5" type="noConversion"/>
  </si>
  <si>
    <t>1달 근로시간</t>
    <phoneticPr fontId="5" type="noConversion"/>
  </si>
  <si>
    <t>1주 근로시간</t>
    <phoneticPr fontId="5" type="noConversion"/>
  </si>
  <si>
    <t>12시30분</t>
    <phoneticPr fontId="5" type="noConversion"/>
  </si>
  <si>
    <t>11시30분</t>
    <phoneticPr fontId="5" type="noConversion"/>
  </si>
  <si>
    <t>1일 2시간근무</t>
    <phoneticPr fontId="5" type="noConversion"/>
  </si>
  <si>
    <t>18시40분</t>
    <phoneticPr fontId="5" type="noConversion"/>
  </si>
  <si>
    <t>19시10분</t>
    <phoneticPr fontId="5" type="noConversion"/>
  </si>
  <si>
    <t>월 근로시간</t>
    <phoneticPr fontId="5" type="noConversion"/>
  </si>
  <si>
    <t>근무시간</t>
    <phoneticPr fontId="5" type="noConversion"/>
  </si>
  <si>
    <t>야간근로</t>
    <phoneticPr fontId="5" type="noConversion"/>
  </si>
  <si>
    <t>휴일근로</t>
    <phoneticPr fontId="5" type="noConversion"/>
  </si>
  <si>
    <t>고용보험및산업재해보상보험의보험료징수등에관한법률시행령제12조</t>
    <phoneticPr fontId="5" type="noConversion"/>
  </si>
  <si>
    <t>5~30인 미만</t>
    <phoneticPr fontId="5" type="noConversion"/>
  </si>
  <si>
    <t>근무일</t>
    <phoneticPr fontId="5" type="noConversion"/>
  </si>
  <si>
    <t>18시</t>
    <phoneticPr fontId="5" type="noConversion"/>
  </si>
  <si>
    <t>20시</t>
    <phoneticPr fontId="5" type="noConversion"/>
  </si>
  <si>
    <t>2시간</t>
    <phoneticPr fontId="5" type="noConversion"/>
  </si>
  <si>
    <t>365 / 7</t>
    <phoneticPr fontId="5" type="noConversion"/>
  </si>
  <si>
    <r>
      <rPr>
        <u/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9"/>
        <scheme val="minor"/>
      </rPr>
      <t xml:space="preserve"> * </t>
    </r>
    <r>
      <rPr>
        <u/>
        <sz val="11"/>
        <color theme="1"/>
        <rFont val="맑은 고딕"/>
        <family val="3"/>
        <charset val="129"/>
        <scheme val="minor"/>
      </rPr>
      <t>2</t>
    </r>
    <phoneticPr fontId="5" type="noConversion"/>
  </si>
  <si>
    <r>
      <rPr>
        <u/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 xml:space="preserve">  / </t>
    </r>
    <r>
      <rPr>
        <u/>
        <sz val="11"/>
        <color theme="1"/>
        <rFont val="맑은 고딕"/>
        <family val="3"/>
        <charset val="129"/>
        <scheme val="minor"/>
      </rPr>
      <t>12</t>
    </r>
    <phoneticPr fontId="5" type="noConversion"/>
  </si>
  <si>
    <t>1일 근로시간</t>
    <phoneticPr fontId="5" type="noConversion"/>
  </si>
  <si>
    <t>2.83 / 4.34</t>
    <phoneticPr fontId="5" type="noConversion"/>
  </si>
  <si>
    <t>0.65 / 5</t>
    <phoneticPr fontId="5" type="noConversion"/>
  </si>
  <si>
    <t>주휴제외 휴일</t>
    <phoneticPr fontId="5" type="noConversion"/>
  </si>
  <si>
    <t>비고</t>
    <phoneticPr fontId="5" type="noConversion"/>
  </si>
  <si>
    <t>근무시간</t>
    <phoneticPr fontId="5" type="noConversion"/>
  </si>
  <si>
    <t>휴게시간</t>
    <phoneticPr fontId="5" type="noConversion"/>
  </si>
  <si>
    <r>
      <rPr>
        <u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 xml:space="preserve"> / 12</t>
    </r>
    <phoneticPr fontId="5" type="noConversion"/>
  </si>
  <si>
    <t>1일 근무시간</t>
    <phoneticPr fontId="5" type="noConversion"/>
  </si>
  <si>
    <t>(평일+토)/5일</t>
    <phoneticPr fontId="5" type="noConversion"/>
  </si>
  <si>
    <t>1주/12월</t>
    <phoneticPr fontId="5" type="noConversion"/>
  </si>
  <si>
    <t>단가*4.34주*6, 8, 6.1</t>
    <phoneticPr fontId="5" type="noConversion"/>
  </si>
  <si>
    <t>주휴제외 휴일근로수당</t>
    <phoneticPr fontId="5" type="noConversion"/>
  </si>
  <si>
    <t>월</t>
    <phoneticPr fontId="5" type="noConversion"/>
  </si>
  <si>
    <t>월-금     근로</t>
    <phoneticPr fontId="5" type="noConversion"/>
  </si>
  <si>
    <t>토         근로</t>
    <phoneticPr fontId="5" type="noConversion"/>
  </si>
  <si>
    <t>낙찰률</t>
    <phoneticPr fontId="5" type="noConversion"/>
  </si>
  <si>
    <t>경비원,  주차원,  미화원</t>
    <phoneticPr fontId="5" type="noConversion"/>
  </si>
  <si>
    <r>
      <t>⑥일 반 관 리 비</t>
    </r>
    <r>
      <rPr>
        <b/>
        <sz val="11"/>
        <color rgb="FF000000"/>
        <rFont val="맑은 고딕"/>
        <family val="3"/>
        <charset val="129"/>
      </rPr>
      <t>(4.0)%</t>
    </r>
    <phoneticPr fontId="5" type="noConversion"/>
  </si>
  <si>
    <r>
      <t>⑦이 윤</t>
    </r>
    <r>
      <rPr>
        <b/>
        <sz val="11"/>
        <color rgb="FF000000"/>
        <rFont val="맑은 고딕"/>
        <family val="3"/>
        <charset val="129"/>
      </rPr>
      <t>(6.0)%</t>
    </r>
    <phoneticPr fontId="5" type="noConversion"/>
  </si>
  <si>
    <t>④기타경비</t>
    <phoneticPr fontId="5" type="noConversion"/>
  </si>
  <si>
    <t>①재료비</t>
    <phoneticPr fontId="5" type="noConversion"/>
  </si>
  <si>
    <t>시설관리 및 사업지원 서비스업</t>
  </si>
  <si>
    <t>단가*1달시간*0.5</t>
    <phoneticPr fontId="5" type="noConversion"/>
  </si>
  <si>
    <t>기준월액(보험료 기준월급)</t>
    <phoneticPr fontId="5" type="noConversion"/>
  </si>
  <si>
    <t>경비원</t>
    <phoneticPr fontId="5" type="noConversion"/>
  </si>
  <si>
    <t>주차원</t>
    <phoneticPr fontId="5" type="noConversion"/>
  </si>
  <si>
    <t>미화원</t>
    <phoneticPr fontId="5" type="noConversion"/>
  </si>
  <si>
    <t>퇴직급여충당금(1/12)     (통상임금+연차수당11)/12</t>
    <phoneticPr fontId="5" type="noConversion"/>
  </si>
  <si>
    <t>1년12회</t>
    <phoneticPr fontId="5" type="noConversion"/>
  </si>
  <si>
    <r>
      <t xml:space="preserve">같은법시행령제44조 </t>
    </r>
    <r>
      <rPr>
        <b/>
        <sz val="10"/>
        <color theme="3"/>
        <rFont val="맑은 고딕"/>
        <family val="3"/>
        <charset val="129"/>
      </rPr>
      <t>(3.545%)</t>
    </r>
    <phoneticPr fontId="5" type="noConversion"/>
  </si>
  <si>
    <t>부 가 가 치 세(10.0)%</t>
    <phoneticPr fontId="5" type="noConversion"/>
  </si>
  <si>
    <r>
      <t xml:space="preserve">고용보험법제6조 </t>
    </r>
    <r>
      <rPr>
        <b/>
        <sz val="10"/>
        <color theme="3"/>
        <rFont val="맑은 고딕"/>
        <family val="3"/>
        <charset val="129"/>
      </rPr>
      <t>(0.9%)</t>
    </r>
    <phoneticPr fontId="5" type="noConversion"/>
  </si>
  <si>
    <r>
      <t xml:space="preserve">국민연금법 제88조 </t>
    </r>
    <r>
      <rPr>
        <b/>
        <sz val="10"/>
        <color theme="3"/>
        <rFont val="맑은 고딕"/>
        <family val="3"/>
        <charset val="129"/>
      </rPr>
      <t>(4.50%)</t>
    </r>
    <phoneticPr fontId="5" type="noConversion"/>
  </si>
  <si>
    <r>
      <t>[⑤*</t>
    </r>
    <r>
      <rPr>
        <b/>
        <sz val="10"/>
        <color rgb="FF000000"/>
        <rFont val="맑은 고딕"/>
        <family val="3"/>
        <charset val="129"/>
      </rPr>
      <t>4.0%]</t>
    </r>
    <r>
      <rPr>
        <sz val="10"/>
        <color rgb="FF000000"/>
        <rFont val="맑은 고딕"/>
        <family val="3"/>
        <charset val="129"/>
      </rPr>
      <t>지방계약법시행규칙제8조</t>
    </r>
    <phoneticPr fontId="5" type="noConversion"/>
  </si>
  <si>
    <r>
      <t>[(②+③+④+⑥)*</t>
    </r>
    <r>
      <rPr>
        <b/>
        <sz val="10"/>
        <color rgb="FF000000"/>
        <rFont val="맑은 고딕"/>
        <family val="3"/>
        <charset val="129"/>
      </rPr>
      <t>6.0%</t>
    </r>
    <r>
      <rPr>
        <sz val="10"/>
        <color rgb="FF000000"/>
        <rFont val="맑은 고딕"/>
        <family val="3"/>
        <charset val="129"/>
      </rPr>
      <t>]지방계약법시행규칙제8조</t>
    </r>
    <phoneticPr fontId="5" type="noConversion"/>
  </si>
  <si>
    <r>
      <t xml:space="preserve">같은법시행령제4조 </t>
    </r>
    <r>
      <rPr>
        <b/>
        <sz val="10"/>
        <color theme="3"/>
        <rFont val="맑은 고딕"/>
        <family val="3"/>
        <charset val="129"/>
      </rPr>
      <t>(12.81%)</t>
    </r>
    <phoneticPr fontId="5" type="noConversion"/>
  </si>
  <si>
    <r>
      <t xml:space="preserve">산업재해보상보험법제4조 </t>
    </r>
    <r>
      <rPr>
        <b/>
        <sz val="10"/>
        <color theme="3"/>
        <rFont val="맑은 고딕"/>
        <family val="3"/>
        <charset val="129"/>
      </rPr>
      <t>(0.8%)</t>
    </r>
    <phoneticPr fontId="5" type="noConversion"/>
  </si>
  <si>
    <r>
      <t xml:space="preserve">임금채권보장법제9조2항 </t>
    </r>
    <r>
      <rPr>
        <b/>
        <sz val="10"/>
        <color theme="3"/>
        <rFont val="맑은 고딕"/>
        <family val="3"/>
        <charset val="129"/>
      </rPr>
      <t>(0.06%)</t>
    </r>
    <phoneticPr fontId="5" type="noConversion"/>
  </si>
  <si>
    <t>장애인미고용</t>
    <phoneticPr fontId="5" type="noConversion"/>
  </si>
  <si>
    <t>/ 12개월</t>
    <phoneticPr fontId="5" type="noConversion"/>
  </si>
  <si>
    <t xml:space="preserve"> / 3인</t>
    <phoneticPr fontId="5" type="noConversion"/>
  </si>
  <si>
    <t>건강보험*12.81%</t>
    <phoneticPr fontId="5" type="noConversion"/>
  </si>
  <si>
    <t>급식비</t>
    <phoneticPr fontId="5" type="noConversion"/>
  </si>
  <si>
    <t>건물등의종합관리사업</t>
    <phoneticPr fontId="5" type="noConversion"/>
  </si>
  <si>
    <r>
      <t>원 가 계 산 서</t>
    </r>
    <r>
      <rPr>
        <sz val="18"/>
        <color rgb="FF000000"/>
        <rFont val="문체부 제목 돋음체"/>
        <family val="3"/>
        <charset val="129"/>
      </rPr>
      <t>(2024최저임금9,860원)</t>
    </r>
    <phoneticPr fontId="5" type="noConversion"/>
  </si>
  <si>
    <t>2024년</t>
    <phoneticPr fontId="5" type="noConversion"/>
  </si>
  <si>
    <t>신정(월)</t>
    <phoneticPr fontId="5" type="noConversion"/>
  </si>
  <si>
    <t>설날연휴(금)</t>
    <phoneticPr fontId="5" type="noConversion"/>
  </si>
  <si>
    <t>설날(토)</t>
    <phoneticPr fontId="5" type="noConversion"/>
  </si>
  <si>
    <t>설날 대체공휴일(월)</t>
    <phoneticPr fontId="5" type="noConversion"/>
  </si>
  <si>
    <t>삼일절(금)</t>
    <phoneticPr fontId="5" type="noConversion"/>
  </si>
  <si>
    <t>22대 국회의원선거(수)</t>
    <phoneticPr fontId="5" type="noConversion"/>
  </si>
  <si>
    <t>어린이날 대체공휴일(월)</t>
    <phoneticPr fontId="5" type="noConversion"/>
  </si>
  <si>
    <t>부처님오신날(수)</t>
    <phoneticPr fontId="5" type="noConversion"/>
  </si>
  <si>
    <t>진흥원 창립기념일(금)</t>
    <phoneticPr fontId="5" type="noConversion"/>
  </si>
  <si>
    <t>현충일(목)</t>
    <phoneticPr fontId="5" type="noConversion"/>
  </si>
  <si>
    <t>광복절(목)</t>
    <phoneticPr fontId="5" type="noConversion"/>
  </si>
  <si>
    <t>추석연휴(월)</t>
    <phoneticPr fontId="5" type="noConversion"/>
  </si>
  <si>
    <t>추석(화)</t>
    <phoneticPr fontId="5" type="noConversion"/>
  </si>
  <si>
    <t>추석연휴(수)</t>
    <phoneticPr fontId="5" type="noConversion"/>
  </si>
  <si>
    <t>개천절(목)</t>
    <phoneticPr fontId="5" type="noConversion"/>
  </si>
  <si>
    <t>한글날(수)</t>
    <phoneticPr fontId="5" type="noConversion"/>
  </si>
  <si>
    <t>크리스마스(수)</t>
    <phoneticPr fontId="5" type="noConversion"/>
  </si>
  <si>
    <t>실수령</t>
    <phoneticPr fontId="5" type="noConversion"/>
  </si>
  <si>
    <t>월-금     야간근로</t>
    <phoneticPr fontId="5" type="noConversion"/>
  </si>
  <si>
    <t>일         휴일</t>
    <phoneticPr fontId="5" type="noConversion"/>
  </si>
  <si>
    <t>휴게내용</t>
    <phoneticPr fontId="5" type="noConversion"/>
  </si>
  <si>
    <t>근무내용</t>
    <phoneticPr fontId="5" type="noConversion"/>
  </si>
  <si>
    <r>
      <t>최저시급적용</t>
    </r>
    <r>
      <rPr>
        <b/>
        <sz val="10"/>
        <color rgb="FF000000"/>
        <rFont val="맑은 고딕"/>
        <family val="3"/>
        <charset val="129"/>
      </rPr>
      <t>(9,860)</t>
    </r>
    <phoneticPr fontId="5" type="noConversion"/>
  </si>
  <si>
    <r>
      <t>(일급</t>
    </r>
    <r>
      <rPr>
        <b/>
        <sz val="10"/>
        <color rgb="FF000000"/>
        <rFont val="맑은 고딕"/>
        <family val="3"/>
        <charset val="129"/>
      </rPr>
      <t>78,880</t>
    </r>
    <r>
      <rPr>
        <sz val="10"/>
        <color rgb="FF000000"/>
        <rFont val="맑은 고딕"/>
        <family val="3"/>
        <charset val="129"/>
      </rPr>
      <t>/8h기준)</t>
    </r>
    <phoneticPr fontId="5" type="noConversion"/>
  </si>
  <si>
    <t>2023년도 석면피해구제분담금률</t>
    <phoneticPr fontId="5" type="noConversion"/>
  </si>
  <si>
    <t>(환경부고시 제2022-211호)</t>
    <phoneticPr fontId="5" type="noConversion"/>
  </si>
  <si>
    <r>
      <t xml:space="preserve">석면피해구제법제31조 </t>
    </r>
    <r>
      <rPr>
        <b/>
        <sz val="10"/>
        <color theme="3"/>
        <rFont val="맑은 고딕"/>
        <family val="3"/>
        <charset val="129"/>
      </rPr>
      <t>(0.004%)</t>
    </r>
    <phoneticPr fontId="5" type="noConversion"/>
  </si>
  <si>
    <t>(고용노동부고시 제2022-94호)</t>
    <phoneticPr fontId="5" type="noConversion"/>
  </si>
  <si>
    <r>
      <t>장애인고용촉진및직업재활법제28조(</t>
    </r>
    <r>
      <rPr>
        <b/>
        <sz val="10"/>
        <color theme="3"/>
        <rFont val="맑은 고딕"/>
        <family val="3"/>
        <charset val="129"/>
      </rPr>
      <t xml:space="preserve">장애인미고용시)(2,010,580원) </t>
    </r>
    <r>
      <rPr>
        <sz val="10"/>
        <color theme="3"/>
        <rFont val="맑은 고딕"/>
        <family val="3"/>
        <charset val="129"/>
      </rPr>
      <t xml:space="preserve">          (고용노동부고시 제2022-137호)</t>
    </r>
    <phoneticPr fontId="5" type="noConversion"/>
  </si>
  <si>
    <t>(고용노동부고시 제2022-82호)</t>
    <phoneticPr fontId="5" type="noConversion"/>
  </si>
  <si>
    <t>2023년도 사업종류별산재보험요율</t>
    <phoneticPr fontId="5" type="noConversion"/>
  </si>
  <si>
    <t>영업배상책임보험가입비용(경비원,미화원,주차원)</t>
    <phoneticPr fontId="5" type="noConversion"/>
  </si>
  <si>
    <t>경비원 1인, 주차원 1인, 미화원 1인</t>
    <phoneticPr fontId="5" type="noConversion"/>
  </si>
  <si>
    <t>일시불 현금지급</t>
    <phoneticPr fontId="5" type="noConversion"/>
  </si>
  <si>
    <t>근로자의 날(수)</t>
    <phoneticPr fontId="5" type="noConversion"/>
  </si>
  <si>
    <r>
      <t xml:space="preserve">2024년 </t>
    </r>
    <r>
      <rPr>
        <b/>
        <sz val="11"/>
        <color theme="1"/>
        <rFont val="맑은 고딕"/>
        <family val="3"/>
        <charset val="129"/>
        <scheme val="minor"/>
      </rPr>
      <t>17일</t>
    </r>
    <phoneticPr fontId="5" type="noConversion"/>
  </si>
  <si>
    <r>
      <rPr>
        <b/>
        <sz val="11"/>
        <color theme="1"/>
        <rFont val="맑은 고딕"/>
        <family val="3"/>
        <charset val="129"/>
        <scheme val="minor"/>
      </rPr>
      <t>17</t>
    </r>
    <r>
      <rPr>
        <sz val="11"/>
        <color theme="1"/>
        <rFont val="맑은 고딕"/>
        <family val="3"/>
        <charset val="129"/>
        <scheme val="minor"/>
      </rPr>
      <t xml:space="preserve"> * 2 / 12</t>
    </r>
    <phoneticPr fontId="5" type="noConversion"/>
  </si>
  <si>
    <t>단가*1달시간*1.5</t>
    <phoneticPr fontId="5" type="noConversion"/>
  </si>
  <si>
    <r>
      <t xml:space="preserve">2024년 공휴일 (주휴제외 휴일)  </t>
    </r>
    <r>
      <rPr>
        <b/>
        <sz val="11"/>
        <color theme="1"/>
        <rFont val="맑은 고딕"/>
        <family val="3"/>
        <charset val="129"/>
        <scheme val="minor"/>
      </rPr>
      <t>17일</t>
    </r>
    <phoneticPr fontId="5" type="noConversion"/>
  </si>
  <si>
    <r>
      <rPr>
        <b/>
        <sz val="11"/>
        <color theme="1"/>
        <rFont val="맑은 고딕"/>
        <family val="3"/>
        <charset val="129"/>
        <scheme val="minor"/>
      </rPr>
      <t>17일</t>
    </r>
    <r>
      <rPr>
        <sz val="11"/>
        <color theme="1"/>
        <rFont val="맑은 고딕"/>
        <family val="3"/>
        <charset val="129"/>
        <scheme val="minor"/>
      </rPr>
      <t>/년</t>
    </r>
    <phoneticPr fontId="5" type="noConversion"/>
  </si>
  <si>
    <t>영업배상책임보험 가입비용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</si>
</sst>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0.000%"/>
    <numFmt numFmtId="177" formatCode="#,##0_ "/>
    <numFmt numFmtId="178" formatCode="#,##0_);[Red]\(#,##0\)"/>
    <numFmt numFmtId="179" formatCode="m&quot;월&quot;\ d&quot;일&quot;;@"/>
  </numFmts>
  <fonts count="28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3"/>
      <name val="맑은 고딕"/>
      <family val="3"/>
      <charset val="129"/>
    </font>
    <font>
      <b/>
      <u/>
      <sz val="18"/>
      <color rgb="FF000000"/>
      <name val="문체부 제목 돋음체"/>
      <family val="3"/>
      <charset val="129"/>
    </font>
    <font>
      <sz val="9"/>
      <color theme="3"/>
      <name val="맑은 고딕"/>
      <family val="3"/>
      <charset val="129"/>
    </font>
    <font>
      <sz val="15"/>
      <color rgb="FF000000"/>
      <name val="문체부 제목 돋음체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11"/>
      <color theme="1" tint="4.9989318521683403E-2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8"/>
      <color rgb="FF000000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함초롬바탕"/>
      <family val="3"/>
      <charset val="129"/>
    </font>
    <font>
      <b/>
      <sz val="10"/>
      <color theme="3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4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13" fillId="0" borderId="11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3" fontId="2" fillId="0" borderId="39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58" fontId="14" fillId="0" borderId="0" xfId="0" applyNumberFormat="1" applyFont="1" applyFill="1" applyBorder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14" fillId="0" borderId="0" xfId="0" applyNumberFormat="1" applyFont="1" applyFill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 applyFill="1" applyBorder="1">
      <alignment vertical="center"/>
    </xf>
    <xf numFmtId="0" fontId="14" fillId="0" borderId="15" xfId="0" applyNumberFormat="1" applyFont="1" applyFill="1" applyBorder="1">
      <alignment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Alignment="1">
      <alignment horizontal="center" vertical="center"/>
    </xf>
    <xf numFmtId="0" fontId="0" fillId="0" borderId="0" xfId="0" applyNumberFormat="1" applyFill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179" fontId="17" fillId="0" borderId="18" xfId="0" applyNumberFormat="1" applyFont="1" applyFill="1" applyBorder="1">
      <alignment vertical="center"/>
    </xf>
    <xf numFmtId="179" fontId="14" fillId="0" borderId="18" xfId="0" applyNumberFormat="1" applyFont="1" applyFill="1" applyBorder="1">
      <alignment vertical="center"/>
    </xf>
    <xf numFmtId="179" fontId="14" fillId="0" borderId="51" xfId="0" applyNumberFormat="1" applyFont="1" applyFill="1" applyBorder="1">
      <alignment vertical="center"/>
    </xf>
    <xf numFmtId="0" fontId="14" fillId="0" borderId="55" xfId="0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right" vertical="center" wrapText="1"/>
    </xf>
    <xf numFmtId="0" fontId="14" fillId="0" borderId="18" xfId="0" applyNumberFormat="1" applyFont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/>
    </xf>
    <xf numFmtId="0" fontId="14" fillId="0" borderId="57" xfId="0" applyNumberFormat="1" applyFont="1" applyFill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59" xfId="0" applyNumberFormat="1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4" fillId="2" borderId="43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vertical="center" wrapText="1"/>
    </xf>
    <xf numFmtId="0" fontId="14" fillId="0" borderId="30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14" fillId="0" borderId="63" xfId="0" applyNumberFormat="1" applyFont="1" applyBorder="1" applyAlignment="1">
      <alignment horizontal="center" vertical="center"/>
    </xf>
    <xf numFmtId="0" fontId="14" fillId="0" borderId="64" xfId="0" applyNumberFormat="1" applyFont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14" fillId="0" borderId="61" xfId="0" applyNumberFormat="1" applyFont="1" applyBorder="1" applyAlignment="1">
      <alignment horizontal="center" vertical="center"/>
    </xf>
    <xf numFmtId="0" fontId="14" fillId="2" borderId="47" xfId="0" applyNumberFormat="1" applyFont="1" applyFill="1" applyBorder="1" applyAlignment="1">
      <alignment horizontal="center" vertical="center"/>
    </xf>
    <xf numFmtId="0" fontId="14" fillId="0" borderId="15" xfId="0" applyNumberFormat="1" applyFont="1" applyBorder="1">
      <alignment vertical="center"/>
    </xf>
    <xf numFmtId="0" fontId="15" fillId="2" borderId="62" xfId="0" applyNumberFormat="1" applyFont="1" applyFill="1" applyBorder="1" applyAlignment="1">
      <alignment horizontal="right" vertical="center"/>
    </xf>
    <xf numFmtId="0" fontId="14" fillId="2" borderId="17" xfId="0" applyNumberFormat="1" applyFont="1" applyFill="1" applyBorder="1">
      <alignment vertical="center"/>
    </xf>
    <xf numFmtId="0" fontId="14" fillId="0" borderId="24" xfId="0" applyNumberFormat="1" applyFont="1" applyBorder="1" applyAlignment="1">
      <alignment horizontal="right" vertical="center" wrapText="1"/>
    </xf>
    <xf numFmtId="0" fontId="14" fillId="0" borderId="11" xfId="0" applyNumberFormat="1" applyFont="1" applyBorder="1" applyAlignment="1">
      <alignment horizontal="right" vertical="center" wrapText="1"/>
    </xf>
    <xf numFmtId="0" fontId="14" fillId="0" borderId="34" xfId="0" applyNumberFormat="1" applyFont="1" applyBorder="1" applyAlignment="1">
      <alignment horizontal="right" vertical="center" wrapText="1"/>
    </xf>
    <xf numFmtId="0" fontId="14" fillId="0" borderId="28" xfId="0" applyNumberFormat="1" applyFont="1" applyBorder="1" applyAlignment="1">
      <alignment horizontal="right" vertical="center" wrapText="1"/>
    </xf>
    <xf numFmtId="0" fontId="14" fillId="2" borderId="44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right" vertical="center" wrapText="1"/>
    </xf>
    <xf numFmtId="0" fontId="14" fillId="0" borderId="26" xfId="0" applyNumberFormat="1" applyFont="1" applyBorder="1" applyAlignment="1">
      <alignment horizontal="right" vertical="center" wrapText="1"/>
    </xf>
    <xf numFmtId="0" fontId="14" fillId="0" borderId="29" xfId="0" applyNumberFormat="1" applyFont="1" applyBorder="1" applyAlignment="1">
      <alignment horizontal="right" vertical="center" wrapText="1"/>
    </xf>
    <xf numFmtId="0" fontId="14" fillId="2" borderId="60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Border="1" applyAlignment="1">
      <alignment horizontal="center" vertical="center" wrapText="1"/>
    </xf>
    <xf numFmtId="0" fontId="13" fillId="0" borderId="36" xfId="0" applyNumberFormat="1" applyFont="1" applyBorder="1" applyAlignment="1">
      <alignment horizontal="center" vertical="center" wrapText="1"/>
    </xf>
    <xf numFmtId="0" fontId="13" fillId="0" borderId="3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4" fillId="0" borderId="46" xfId="0" applyNumberFormat="1" applyFont="1" applyBorder="1">
      <alignment vertical="center"/>
    </xf>
    <xf numFmtId="0" fontId="14" fillId="0" borderId="50" xfId="0" applyNumberFormat="1" applyFont="1" applyBorder="1">
      <alignment vertical="center"/>
    </xf>
    <xf numFmtId="0" fontId="14" fillId="0" borderId="46" xfId="0" applyNumberFormat="1" applyFont="1" applyBorder="1" applyAlignment="1">
      <alignment horizontal="center" vertical="center"/>
    </xf>
    <xf numFmtId="0" fontId="14" fillId="0" borderId="57" xfId="0" applyNumberFormat="1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>
      <alignment vertical="center"/>
    </xf>
    <xf numFmtId="0" fontId="22" fillId="2" borderId="14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3" fontId="16" fillId="2" borderId="2" xfId="0" applyNumberFormat="1" applyFont="1" applyFill="1" applyBorder="1" applyAlignment="1">
      <alignment vertical="center" wrapText="1"/>
    </xf>
    <xf numFmtId="3" fontId="12" fillId="0" borderId="2" xfId="1" applyNumberFormat="1" applyFont="1" applyBorder="1" applyAlignment="1">
      <alignment vertical="center" wrapText="1"/>
    </xf>
    <xf numFmtId="3" fontId="22" fillId="2" borderId="1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24" fillId="0" borderId="0" xfId="0" applyFont="1" applyAlignment="1">
      <alignment vertical="top"/>
    </xf>
    <xf numFmtId="3" fontId="24" fillId="0" borderId="11" xfId="0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3" fontId="24" fillId="0" borderId="19" xfId="0" applyNumberFormat="1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/>
    </xf>
    <xf numFmtId="43" fontId="24" fillId="0" borderId="20" xfId="0" applyNumberFormat="1" applyFont="1" applyBorder="1" applyAlignment="1">
      <alignment horizontal="right" vertical="center"/>
    </xf>
    <xf numFmtId="10" fontId="0" fillId="2" borderId="0" xfId="0" applyNumberFormat="1" applyFont="1" applyFill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10" fontId="0" fillId="2" borderId="17" xfId="0" applyNumberFormat="1" applyFont="1" applyFill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10" fontId="24" fillId="0" borderId="0" xfId="0" applyNumberFormat="1" applyFont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6" fontId="7" fillId="2" borderId="0" xfId="2" applyNumberFormat="1" applyFont="1" applyFill="1" applyAlignment="1">
      <alignment horizontal="right" vertical="center"/>
    </xf>
    <xf numFmtId="176" fontId="24" fillId="0" borderId="0" xfId="2" applyNumberFormat="1" applyFont="1" applyAlignment="1">
      <alignment horizontal="right" vertical="center"/>
    </xf>
    <xf numFmtId="10" fontId="0" fillId="0" borderId="0" xfId="0" applyNumberFormat="1" applyFont="1" applyAlignment="1">
      <alignment horizontal="right" vertical="center"/>
    </xf>
    <xf numFmtId="3" fontId="24" fillId="0" borderId="19" xfId="0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4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horizontal="right" vertical="center"/>
    </xf>
    <xf numFmtId="3" fontId="18" fillId="2" borderId="4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49" fontId="2" fillId="0" borderId="6" xfId="0" applyNumberFormat="1" applyFont="1" applyBorder="1" applyAlignment="1" applyProtection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9" fontId="2" fillId="0" borderId="2" xfId="0" applyNumberFormat="1" applyFont="1" applyBorder="1" applyAlignment="1">
      <alignment horizontal="left" vertical="center" shrinkToFit="1"/>
    </xf>
    <xf numFmtId="3" fontId="19" fillId="2" borderId="2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4" fillId="0" borderId="68" xfId="0" applyNumberFormat="1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left" vertical="center" shrinkToFit="1"/>
    </xf>
    <xf numFmtId="0" fontId="13" fillId="0" borderId="9" xfId="0" applyFont="1" applyBorder="1" applyAlignment="1">
      <alignment vertical="center" wrapText="1" shrinkToFit="1"/>
    </xf>
    <xf numFmtId="0" fontId="13" fillId="0" borderId="72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73" xfId="0" applyFont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10" fillId="2" borderId="70" xfId="0" applyFont="1" applyFill="1" applyBorder="1" applyAlignment="1">
      <alignment horizontal="left" vertical="center" wrapText="1" shrinkToFit="1"/>
    </xf>
    <xf numFmtId="10" fontId="14" fillId="2" borderId="16" xfId="0" applyNumberFormat="1" applyFont="1" applyFill="1" applyBorder="1" applyAlignment="1">
      <alignment horizontal="right" vertical="center"/>
    </xf>
    <xf numFmtId="49" fontId="24" fillId="0" borderId="16" xfId="0" applyNumberFormat="1" applyFont="1" applyFill="1" applyBorder="1" applyAlignment="1">
      <alignment horizontal="center" vertical="center"/>
    </xf>
    <xf numFmtId="49" fontId="24" fillId="0" borderId="75" xfId="0" applyNumberFormat="1" applyFont="1" applyFill="1" applyBorder="1" applyAlignment="1">
      <alignment horizontal="center" vertical="center"/>
    </xf>
    <xf numFmtId="3" fontId="24" fillId="0" borderId="51" xfId="0" applyNumberFormat="1" applyFont="1" applyFill="1" applyBorder="1" applyAlignment="1">
      <alignment horizontal="right" vertical="center"/>
    </xf>
    <xf numFmtId="3" fontId="24" fillId="0" borderId="15" xfId="0" applyNumberFormat="1" applyFont="1" applyFill="1" applyBorder="1" applyAlignment="1">
      <alignment horizontal="right" vertical="center"/>
    </xf>
    <xf numFmtId="3" fontId="24" fillId="0" borderId="3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0" fontId="2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27" fillId="0" borderId="2" xfId="0" applyFont="1" applyBorder="1" applyAlignment="1">
      <alignment horizontal="left" vertical="center" shrinkToFit="1"/>
    </xf>
    <xf numFmtId="0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4" fillId="2" borderId="0" xfId="0" applyFont="1" applyFill="1">
      <alignment vertical="center"/>
    </xf>
    <xf numFmtId="0" fontId="24" fillId="2" borderId="67" xfId="0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3" fontId="24" fillId="0" borderId="16" xfId="0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179" fontId="15" fillId="0" borderId="18" xfId="0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left" vertical="center"/>
    </xf>
    <xf numFmtId="0" fontId="18" fillId="2" borderId="0" xfId="0" applyNumberFormat="1" applyFont="1" applyFill="1" applyAlignment="1">
      <alignment horizontal="left" vertical="center"/>
    </xf>
    <xf numFmtId="0" fontId="18" fillId="2" borderId="47" xfId="0" applyNumberFormat="1" applyFont="1" applyFill="1" applyBorder="1" applyAlignment="1">
      <alignment horizontal="center" vertical="center" wrapText="1"/>
    </xf>
    <xf numFmtId="0" fontId="18" fillId="2" borderId="16" xfId="0" applyNumberFormat="1" applyFont="1" applyFill="1" applyBorder="1" applyAlignment="1">
      <alignment horizontal="center" vertical="center" wrapText="1"/>
    </xf>
    <xf numFmtId="0" fontId="18" fillId="2" borderId="48" xfId="0" applyNumberFormat="1" applyFont="1" applyFill="1" applyBorder="1" applyAlignment="1">
      <alignment horizontal="center" vertical="center" wrapText="1" shrinkToFit="1"/>
    </xf>
    <xf numFmtId="0" fontId="14" fillId="0" borderId="47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43" xfId="0" applyNumberFormat="1" applyFont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50" xfId="0" applyNumberFormat="1" applyFont="1" applyFill="1" applyBorder="1" applyAlignment="1">
      <alignment horizontal="center" vertical="center" shrinkToFit="1"/>
    </xf>
    <xf numFmtId="0" fontId="14" fillId="2" borderId="76" xfId="0" applyNumberFormat="1" applyFont="1" applyFill="1" applyBorder="1" applyAlignment="1">
      <alignment horizontal="center" vertical="center"/>
    </xf>
    <xf numFmtId="0" fontId="14" fillId="0" borderId="78" xfId="0" applyNumberFormat="1" applyFont="1" applyBorder="1" applyAlignment="1">
      <alignment horizontal="center" vertical="center"/>
    </xf>
    <xf numFmtId="0" fontId="14" fillId="0" borderId="79" xfId="0" applyNumberFormat="1" applyFont="1" applyFill="1" applyBorder="1" applyAlignment="1">
      <alignment horizontal="center" vertical="center"/>
    </xf>
    <xf numFmtId="0" fontId="14" fillId="0" borderId="80" xfId="0" applyNumberFormat="1" applyFont="1" applyFill="1" applyBorder="1" applyAlignment="1">
      <alignment horizontal="center" vertical="center"/>
    </xf>
    <xf numFmtId="0" fontId="14" fillId="0" borderId="77" xfId="0" applyNumberFormat="1" applyFont="1" applyBorder="1" applyAlignment="1">
      <alignment horizontal="center" vertical="center"/>
    </xf>
    <xf numFmtId="0" fontId="14" fillId="2" borderId="77" xfId="0" applyNumberFormat="1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3" fontId="16" fillId="2" borderId="79" xfId="0" applyNumberFormat="1" applyFont="1" applyFill="1" applyBorder="1" applyAlignment="1">
      <alignment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 vertical="center"/>
    </xf>
    <xf numFmtId="0" fontId="18" fillId="2" borderId="23" xfId="0" applyNumberFormat="1" applyFont="1" applyFill="1" applyBorder="1" applyAlignment="1">
      <alignment horizontal="center" vertical="center" wrapText="1"/>
    </xf>
    <xf numFmtId="0" fontId="18" fillId="2" borderId="32" xfId="0" applyNumberFormat="1" applyFont="1" applyFill="1" applyBorder="1" applyAlignment="1">
      <alignment horizontal="center" vertical="center" wrapText="1"/>
    </xf>
    <xf numFmtId="0" fontId="18" fillId="2" borderId="33" xfId="0" applyNumberFormat="1" applyFont="1" applyFill="1" applyBorder="1" applyAlignment="1">
      <alignment horizontal="center" vertical="center" wrapText="1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 wrapText="1"/>
    </xf>
    <xf numFmtId="49" fontId="24" fillId="2" borderId="74" xfId="0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left" vertical="center"/>
    </xf>
    <xf numFmtId="0" fontId="14" fillId="2" borderId="22" xfId="0" applyNumberFormat="1" applyFont="1" applyFill="1" applyBorder="1" applyAlignment="1">
      <alignment vertical="center" shrinkToFit="1"/>
    </xf>
    <xf numFmtId="0" fontId="0" fillId="0" borderId="30" xfId="0" applyBorder="1">
      <alignment vertical="center"/>
    </xf>
    <xf numFmtId="179" fontId="18" fillId="0" borderId="18" xfId="0" applyNumberFormat="1" applyFont="1" applyFill="1" applyBorder="1">
      <alignment vertical="center"/>
    </xf>
    <xf numFmtId="0" fontId="18" fillId="0" borderId="0" xfId="0" applyNumberFormat="1" applyFont="1" applyFill="1" applyBorder="1">
      <alignment vertical="center"/>
    </xf>
    <xf numFmtId="0" fontId="18" fillId="2" borderId="26" xfId="0" applyNumberFormat="1" applyFont="1" applyFill="1" applyBorder="1" applyAlignment="1">
      <alignment horizontal="right" vertical="center" wrapText="1"/>
    </xf>
    <xf numFmtId="0" fontId="18" fillId="2" borderId="54" xfId="0" applyNumberFormat="1" applyFont="1" applyFill="1" applyBorder="1" applyAlignment="1">
      <alignment horizontal="center" vertical="center" wrapText="1"/>
    </xf>
    <xf numFmtId="176" fontId="0" fillId="2" borderId="16" xfId="0" applyNumberFormat="1" applyFont="1" applyFill="1" applyBorder="1" applyAlignment="1">
      <alignment horizontal="right" vertical="center"/>
    </xf>
    <xf numFmtId="3" fontId="22" fillId="2" borderId="16" xfId="1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 wrapText="1"/>
    </xf>
    <xf numFmtId="0" fontId="18" fillId="0" borderId="49" xfId="0" applyNumberFormat="1" applyFont="1" applyFill="1" applyBorder="1" applyAlignment="1">
      <alignment horizontal="center" vertical="center" shrinkToFit="1"/>
    </xf>
    <xf numFmtId="0" fontId="18" fillId="0" borderId="76" xfId="0" applyNumberFormat="1" applyFont="1" applyFill="1" applyBorder="1" applyAlignment="1">
      <alignment horizontal="center" vertical="center" shrinkToFit="1"/>
    </xf>
    <xf numFmtId="0" fontId="18" fillId="0" borderId="4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7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7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shrinkToFit="1"/>
    </xf>
    <xf numFmtId="3" fontId="2" fillId="0" borderId="2" xfId="1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3" fillId="0" borderId="38" xfId="0" applyFont="1" applyBorder="1" applyAlignment="1">
      <alignment horizontal="center" vertical="center" wrapText="1" shrinkToFit="1"/>
    </xf>
    <xf numFmtId="3" fontId="2" fillId="0" borderId="39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 shrinkToFit="1"/>
    </xf>
    <xf numFmtId="3" fontId="19" fillId="2" borderId="2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 shrinkToFit="1"/>
    </xf>
    <xf numFmtId="3" fontId="4" fillId="0" borderId="2" xfId="0" applyNumberFormat="1" applyFont="1" applyBorder="1" applyAlignment="1">
      <alignment horizontal="right" vertical="center" wrapText="1"/>
    </xf>
    <xf numFmtId="0" fontId="18" fillId="2" borderId="52" xfId="0" applyNumberFormat="1" applyFont="1" applyFill="1" applyBorder="1" applyAlignment="1">
      <alignment horizontal="center" vertical="center"/>
    </xf>
    <xf numFmtId="0" fontId="18" fillId="2" borderId="53" xfId="0" applyNumberFormat="1" applyFont="1" applyFill="1" applyBorder="1" applyAlignment="1">
      <alignment horizontal="center" vertical="center"/>
    </xf>
    <xf numFmtId="0" fontId="18" fillId="2" borderId="54" xfId="0" applyNumberFormat="1" applyFont="1" applyFill="1" applyBorder="1" applyAlignment="1">
      <alignment horizontal="center" vertical="center"/>
    </xf>
    <xf numFmtId="0" fontId="18" fillId="2" borderId="61" xfId="0" applyNumberFormat="1" applyFont="1" applyFill="1" applyBorder="1" applyAlignment="1">
      <alignment horizontal="center" vertical="center"/>
    </xf>
    <xf numFmtId="0" fontId="18" fillId="2" borderId="59" xfId="0" applyNumberFormat="1" applyFont="1" applyFill="1" applyBorder="1" applyAlignment="1">
      <alignment horizontal="center" vertical="center"/>
    </xf>
    <xf numFmtId="0" fontId="18" fillId="2" borderId="62" xfId="0" applyNumberFormat="1" applyFont="1" applyFill="1" applyBorder="1" applyAlignment="1">
      <alignment horizontal="center" vertical="center"/>
    </xf>
    <xf numFmtId="0" fontId="18" fillId="2" borderId="22" xfId="0" applyNumberFormat="1" applyFont="1" applyFill="1" applyBorder="1" applyAlignment="1">
      <alignment horizontal="center" vertical="center"/>
    </xf>
    <xf numFmtId="0" fontId="14" fillId="2" borderId="62" xfId="0" applyNumberFormat="1" applyFont="1" applyFill="1" applyBorder="1" applyAlignment="1">
      <alignment horizontal="center" vertical="center"/>
    </xf>
    <xf numFmtId="0" fontId="14" fillId="2" borderId="22" xfId="0" applyNumberFormat="1" applyFont="1" applyFill="1" applyBorder="1" applyAlignment="1">
      <alignment horizontal="center" vertical="center"/>
    </xf>
    <xf numFmtId="0" fontId="14" fillId="2" borderId="64" xfId="0" applyNumberFormat="1" applyFont="1" applyFill="1" applyBorder="1" applyAlignment="1">
      <alignment horizontal="center" vertical="center"/>
    </xf>
    <xf numFmtId="0" fontId="14" fillId="2" borderId="55" xfId="0" applyNumberFormat="1" applyFont="1" applyFill="1" applyBorder="1" applyAlignment="1">
      <alignment horizontal="center" vertical="center"/>
    </xf>
    <xf numFmtId="0" fontId="14" fillId="2" borderId="43" xfId="0" applyNumberFormat="1" applyFont="1" applyFill="1" applyBorder="1" applyAlignment="1">
      <alignment horizontal="center" vertical="center"/>
    </xf>
    <xf numFmtId="0" fontId="14" fillId="2" borderId="59" xfId="0" applyNumberFormat="1" applyFont="1" applyFill="1" applyBorder="1" applyAlignment="1">
      <alignment horizontal="center" vertical="center"/>
    </xf>
    <xf numFmtId="0" fontId="14" fillId="2" borderId="61" xfId="0" applyNumberFormat="1" applyFont="1" applyFill="1" applyBorder="1" applyAlignment="1">
      <alignment horizontal="center" vertical="center"/>
    </xf>
    <xf numFmtId="0" fontId="14" fillId="2" borderId="7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50"/>
  <sheetViews>
    <sheetView zoomScale="86" zoomScaleNormal="86" zoomScaleSheetLayoutView="80" workbookViewId="0">
      <selection activeCell="K3" sqref="K3"/>
    </sheetView>
  </sheetViews>
  <sheetFormatPr defaultRowHeight="16.5" x14ac:dyDescent="0.3"/>
  <cols>
    <col min="1" max="1" width="2.25" customWidth="1"/>
    <col min="2" max="2" width="5.875" customWidth="1"/>
    <col min="3" max="3" width="8" bestFit="1" customWidth="1"/>
    <col min="4" max="4" width="9.5" customWidth="1"/>
    <col min="5" max="5" width="15.625" customWidth="1"/>
    <col min="6" max="6" width="10.5" bestFit="1" customWidth="1"/>
    <col min="7" max="7" width="11.5" bestFit="1" customWidth="1"/>
    <col min="8" max="8" width="10.5" bestFit="1" customWidth="1"/>
    <col min="9" max="9" width="28.375" customWidth="1"/>
    <col min="10" max="10" width="9.75" bestFit="1" customWidth="1"/>
    <col min="11" max="11" width="14.875" customWidth="1"/>
    <col min="12" max="12" width="12.625" customWidth="1"/>
    <col min="13" max="13" width="14.75" customWidth="1"/>
    <col min="14" max="14" width="9.125" bestFit="1" customWidth="1"/>
    <col min="15" max="15" width="14.125" bestFit="1" customWidth="1"/>
  </cols>
  <sheetData>
    <row r="2" spans="2:18" ht="21" x14ac:dyDescent="0.3">
      <c r="B2" s="268" t="s">
        <v>184</v>
      </c>
      <c r="C2" s="268"/>
      <c r="D2" s="268"/>
      <c r="E2" s="268"/>
      <c r="F2" s="268"/>
      <c r="G2" s="268"/>
      <c r="H2" s="268"/>
      <c r="I2" s="268"/>
    </row>
    <row r="3" spans="2:18" x14ac:dyDescent="0.3">
      <c r="B3" s="1"/>
      <c r="C3" s="1"/>
      <c r="D3" s="1"/>
      <c r="E3" s="1"/>
      <c r="F3" s="1"/>
      <c r="G3" s="1"/>
      <c r="H3" s="1"/>
      <c r="I3" s="2" t="s">
        <v>0</v>
      </c>
      <c r="J3" s="120"/>
      <c r="K3" s="120"/>
      <c r="L3" s="120"/>
      <c r="M3" s="120"/>
      <c r="N3" s="120"/>
      <c r="O3" s="120"/>
      <c r="P3" s="120"/>
      <c r="Q3" s="120"/>
      <c r="R3" s="120"/>
    </row>
    <row r="4" spans="2:18" x14ac:dyDescent="0.3">
      <c r="B4" s="269" t="s">
        <v>4</v>
      </c>
      <c r="C4" s="269"/>
      <c r="D4" s="269"/>
      <c r="E4" s="269"/>
      <c r="F4" s="126" t="s">
        <v>65</v>
      </c>
      <c r="G4" s="126" t="s">
        <v>64</v>
      </c>
      <c r="H4" s="126" t="s">
        <v>1</v>
      </c>
      <c r="I4" s="139" t="s">
        <v>2</v>
      </c>
      <c r="J4" s="120"/>
      <c r="K4" s="120"/>
      <c r="L4" s="120"/>
      <c r="M4" s="120"/>
      <c r="N4" s="120"/>
      <c r="O4" s="120"/>
      <c r="P4" s="120"/>
      <c r="Q4" s="120"/>
      <c r="R4" s="120"/>
    </row>
    <row r="5" spans="2:18" ht="16.5" customHeight="1" x14ac:dyDescent="0.3">
      <c r="B5" s="257" t="s">
        <v>5</v>
      </c>
      <c r="C5" s="262" t="s">
        <v>160</v>
      </c>
      <c r="D5" s="260"/>
      <c r="E5" s="128" t="s">
        <v>6</v>
      </c>
      <c r="F5" s="115"/>
      <c r="G5" s="115"/>
      <c r="H5" s="115"/>
      <c r="I5" s="164" t="s">
        <v>7</v>
      </c>
      <c r="J5" s="120"/>
      <c r="K5" s="204" t="s">
        <v>163</v>
      </c>
      <c r="L5" s="204"/>
      <c r="M5" s="204"/>
      <c r="N5" s="120"/>
      <c r="O5" s="120"/>
      <c r="P5" s="120"/>
      <c r="Q5" s="120"/>
      <c r="R5" s="120"/>
    </row>
    <row r="6" spans="2:18" x14ac:dyDescent="0.3">
      <c r="B6" s="258"/>
      <c r="C6" s="262"/>
      <c r="D6" s="260"/>
      <c r="E6" s="129" t="s">
        <v>8</v>
      </c>
      <c r="F6" s="115"/>
      <c r="G6" s="115"/>
      <c r="H6" s="115"/>
      <c r="I6" s="164"/>
      <c r="J6" s="120"/>
      <c r="K6" s="173" t="s">
        <v>164</v>
      </c>
      <c r="L6" s="173" t="s">
        <v>165</v>
      </c>
      <c r="M6" s="173" t="s">
        <v>166</v>
      </c>
      <c r="N6" s="120"/>
      <c r="O6" s="120"/>
      <c r="P6" s="120"/>
      <c r="Q6" s="120"/>
      <c r="R6" s="120"/>
    </row>
    <row r="7" spans="2:18" x14ac:dyDescent="0.3">
      <c r="B7" s="258"/>
      <c r="C7" s="262" t="s">
        <v>9</v>
      </c>
      <c r="D7" s="260"/>
      <c r="E7" s="260" t="s">
        <v>10</v>
      </c>
      <c r="F7" s="261">
        <f>'2024직접노무비명세(12월)'!D17</f>
        <v>2100830.0158702191</v>
      </c>
      <c r="G7" s="261">
        <f>'2024직접노무비명세(12월)'!E17</f>
        <v>2323906.5961199296</v>
      </c>
      <c r="H7" s="261">
        <f>'2024직접노무비명세(12월)'!F17</f>
        <v>1748225.9828244275</v>
      </c>
      <c r="I7" s="174" t="s">
        <v>11</v>
      </c>
      <c r="J7" s="120"/>
      <c r="K7" s="124">
        <f>'2024직접노무비명세(12월)'!D21</f>
        <v>1939227.7069571253</v>
      </c>
      <c r="L7" s="124">
        <f>'2024직접노무비명세(12월)'!E21</f>
        <v>2145144.5502645504</v>
      </c>
      <c r="M7" s="124">
        <f>'2024직접노무비명세(12월)'!F21</f>
        <v>1613747.0610687023</v>
      </c>
      <c r="N7" s="120"/>
      <c r="O7" s="120"/>
      <c r="P7" s="120"/>
      <c r="Q7" s="120"/>
      <c r="R7" s="120"/>
    </row>
    <row r="8" spans="2:18" x14ac:dyDescent="0.3">
      <c r="B8" s="258"/>
      <c r="C8" s="262"/>
      <c r="D8" s="260"/>
      <c r="E8" s="260"/>
      <c r="F8" s="261">
        <v>1420765</v>
      </c>
      <c r="G8" s="261">
        <v>1799311</v>
      </c>
      <c r="H8" s="261">
        <v>1349484</v>
      </c>
      <c r="I8" s="175"/>
      <c r="J8" s="120"/>
      <c r="K8" s="120"/>
      <c r="L8" s="120"/>
      <c r="M8" s="120"/>
      <c r="N8" s="120"/>
      <c r="O8" s="120"/>
      <c r="P8" s="120"/>
      <c r="Q8" s="120"/>
      <c r="R8" s="120"/>
    </row>
    <row r="9" spans="2:18" x14ac:dyDescent="0.3">
      <c r="B9" s="258"/>
      <c r="C9" s="262"/>
      <c r="D9" s="260"/>
      <c r="E9" s="260"/>
      <c r="F9" s="261">
        <v>1420765</v>
      </c>
      <c r="G9" s="261">
        <v>1799311</v>
      </c>
      <c r="H9" s="261">
        <v>1349484</v>
      </c>
      <c r="I9" s="175"/>
      <c r="J9" s="120"/>
      <c r="K9" s="120"/>
      <c r="L9" s="120"/>
      <c r="M9" s="120"/>
      <c r="N9" s="120"/>
      <c r="O9" s="120"/>
      <c r="P9" s="120"/>
      <c r="Q9" s="120"/>
      <c r="R9" s="120"/>
    </row>
    <row r="10" spans="2:18" x14ac:dyDescent="0.3">
      <c r="B10" s="258"/>
      <c r="C10" s="262"/>
      <c r="D10" s="260"/>
      <c r="E10" s="260"/>
      <c r="F10" s="261">
        <v>1420765</v>
      </c>
      <c r="G10" s="261">
        <v>1799311</v>
      </c>
      <c r="H10" s="261">
        <v>1349484</v>
      </c>
      <c r="I10" s="175" t="s">
        <v>208</v>
      </c>
      <c r="J10" s="120"/>
      <c r="K10" s="120"/>
      <c r="L10" s="120"/>
      <c r="M10" s="120"/>
      <c r="N10" s="120"/>
      <c r="O10" s="120"/>
      <c r="P10" s="120"/>
      <c r="Q10" s="120"/>
      <c r="R10" s="120"/>
    </row>
    <row r="11" spans="2:18" x14ac:dyDescent="0.3">
      <c r="B11" s="258"/>
      <c r="C11" s="262"/>
      <c r="D11" s="260"/>
      <c r="E11" s="260"/>
      <c r="F11" s="261">
        <v>1420765</v>
      </c>
      <c r="G11" s="261">
        <v>1799311</v>
      </c>
      <c r="H11" s="261">
        <v>1349484</v>
      </c>
      <c r="I11" s="176" t="s">
        <v>209</v>
      </c>
      <c r="J11" s="120"/>
      <c r="K11" s="120"/>
      <c r="L11" s="120"/>
      <c r="M11" s="120"/>
      <c r="N11" s="120"/>
      <c r="O11" s="140" t="s">
        <v>52</v>
      </c>
      <c r="P11" s="121"/>
      <c r="Q11" s="121"/>
      <c r="R11" s="121"/>
    </row>
    <row r="12" spans="2:18" x14ac:dyDescent="0.3">
      <c r="B12" s="258"/>
      <c r="C12" s="262"/>
      <c r="D12" s="260"/>
      <c r="E12" s="129" t="s">
        <v>8</v>
      </c>
      <c r="F12" s="116">
        <f>SUM(F7)</f>
        <v>2100830.0158702191</v>
      </c>
      <c r="G12" s="116">
        <f>SUM(G7)</f>
        <v>2323906.5961199296</v>
      </c>
      <c r="H12" s="116">
        <f>SUM(H7)</f>
        <v>1748225.9828244275</v>
      </c>
      <c r="I12" s="164"/>
      <c r="J12" s="120"/>
      <c r="K12" s="206"/>
      <c r="L12" s="120"/>
      <c r="M12" s="120"/>
      <c r="N12" s="120"/>
      <c r="O12" s="122" t="s">
        <v>55</v>
      </c>
      <c r="P12" s="121"/>
      <c r="Q12" s="121"/>
      <c r="R12" s="121"/>
    </row>
    <row r="13" spans="2:18" ht="18" customHeight="1" x14ac:dyDescent="0.3">
      <c r="B13" s="258"/>
      <c r="C13" s="254" t="s">
        <v>156</v>
      </c>
      <c r="D13" s="130" t="s">
        <v>12</v>
      </c>
      <c r="E13" s="260" t="s">
        <v>13</v>
      </c>
      <c r="F13" s="261">
        <f>ROUNDDOWN(K7*J13,-1)</f>
        <v>68740</v>
      </c>
      <c r="G13" s="261">
        <f>ROUNDDOWN(L7*J13,-1)</f>
        <v>76040</v>
      </c>
      <c r="H13" s="261">
        <f>ROUNDDOWN(M7*J13,-1)</f>
        <v>57200</v>
      </c>
      <c r="I13" s="187" t="s">
        <v>14</v>
      </c>
      <c r="J13" s="248">
        <v>3.5450000000000002E-2</v>
      </c>
      <c r="K13" s="207"/>
      <c r="L13" s="141"/>
      <c r="M13" s="249">
        <f>SUM(F13:H14)*12</f>
        <v>2423760</v>
      </c>
      <c r="N13" s="141"/>
      <c r="O13" s="142">
        <f>M13*Q46</f>
        <v>0</v>
      </c>
      <c r="P13" s="123" t="s">
        <v>53</v>
      </c>
      <c r="Q13" s="120"/>
      <c r="R13" s="120"/>
    </row>
    <row r="14" spans="2:18" x14ac:dyDescent="0.3">
      <c r="B14" s="258"/>
      <c r="C14" s="255"/>
      <c r="D14" s="131" t="s">
        <v>35</v>
      </c>
      <c r="E14" s="260"/>
      <c r="F14" s="261"/>
      <c r="G14" s="261"/>
      <c r="H14" s="261"/>
      <c r="I14" s="188" t="s">
        <v>169</v>
      </c>
      <c r="J14" s="143"/>
      <c r="K14" s="208"/>
      <c r="L14" s="143"/>
      <c r="M14" s="143"/>
      <c r="N14" s="143"/>
      <c r="O14" s="144"/>
      <c r="P14" s="120"/>
      <c r="Q14" s="120"/>
      <c r="R14" s="120"/>
    </row>
    <row r="15" spans="2:18" x14ac:dyDescent="0.3">
      <c r="B15" s="258"/>
      <c r="C15" s="255"/>
      <c r="D15" s="131" t="s">
        <v>36</v>
      </c>
      <c r="E15" s="260" t="s">
        <v>15</v>
      </c>
      <c r="F15" s="261">
        <f>K7*J15</f>
        <v>15513.821655657002</v>
      </c>
      <c r="G15" s="261">
        <f>L7*J15</f>
        <v>17161.156402116405</v>
      </c>
      <c r="H15" s="261">
        <f>M7*J15</f>
        <v>12909.976488549619</v>
      </c>
      <c r="I15" s="177" t="s">
        <v>176</v>
      </c>
      <c r="J15" s="145">
        <v>8.0000000000000002E-3</v>
      </c>
      <c r="K15" s="209"/>
      <c r="L15" s="147"/>
      <c r="M15" s="147"/>
      <c r="N15" s="147"/>
      <c r="O15" s="148"/>
      <c r="P15" s="120"/>
      <c r="Q15" s="120"/>
      <c r="R15" s="120"/>
    </row>
    <row r="16" spans="2:18" x14ac:dyDescent="0.3">
      <c r="B16" s="258"/>
      <c r="C16" s="255"/>
      <c r="D16" s="131"/>
      <c r="E16" s="260"/>
      <c r="F16" s="261"/>
      <c r="G16" s="261"/>
      <c r="H16" s="261"/>
      <c r="I16" s="179" t="s">
        <v>216</v>
      </c>
      <c r="J16" s="147"/>
      <c r="K16" s="210" t="s">
        <v>161</v>
      </c>
      <c r="M16" s="147" t="s">
        <v>183</v>
      </c>
      <c r="N16" s="147"/>
      <c r="O16" s="148"/>
      <c r="P16" s="120"/>
      <c r="Q16" s="120"/>
      <c r="R16" s="120"/>
    </row>
    <row r="17" spans="2:18" ht="17.25" thickBot="1" x14ac:dyDescent="0.35">
      <c r="B17" s="258"/>
      <c r="C17" s="255"/>
      <c r="D17" s="131"/>
      <c r="E17" s="254"/>
      <c r="F17" s="267"/>
      <c r="G17" s="267"/>
      <c r="H17" s="267"/>
      <c r="I17" s="178" t="s">
        <v>215</v>
      </c>
      <c r="J17" s="147"/>
      <c r="K17" s="211"/>
      <c r="L17" s="147"/>
      <c r="M17" s="147"/>
      <c r="N17" s="147"/>
      <c r="O17" s="148"/>
      <c r="P17" s="120"/>
      <c r="Q17" s="120"/>
      <c r="R17" s="120"/>
    </row>
    <row r="18" spans="2:18" ht="17.25" thickBot="1" x14ac:dyDescent="0.35">
      <c r="B18" s="258"/>
      <c r="C18" s="255"/>
      <c r="D18" s="133"/>
      <c r="E18" s="134" t="s">
        <v>16</v>
      </c>
      <c r="F18" s="21">
        <f>ROUNDDOWN(ROUNDDOWN(K7,-3)*$J$18,-1)</f>
        <v>87250</v>
      </c>
      <c r="G18" s="21">
        <f t="shared" ref="G18:H18" si="0">ROUNDDOWN(ROUNDDOWN(L7,-3)*$J$18,-1)</f>
        <v>96520</v>
      </c>
      <c r="H18" s="21">
        <f t="shared" si="0"/>
        <v>72580</v>
      </c>
      <c r="I18" s="189" t="s">
        <v>172</v>
      </c>
      <c r="J18" s="149">
        <v>4.4999999999999998E-2</v>
      </c>
      <c r="K18" s="4"/>
      <c r="L18" s="4"/>
      <c r="M18" s="250">
        <f>SUM(F18:H18)*12</f>
        <v>3076200</v>
      </c>
      <c r="N18" s="150"/>
      <c r="O18" s="151">
        <f>M18*Q46</f>
        <v>0</v>
      </c>
      <c r="P18" s="120" t="s">
        <v>54</v>
      </c>
      <c r="Q18" s="120"/>
      <c r="R18" s="120"/>
    </row>
    <row r="19" spans="2:18" ht="17.25" thickBot="1" x14ac:dyDescent="0.35">
      <c r="B19" s="258"/>
      <c r="C19" s="255"/>
      <c r="D19" s="133"/>
      <c r="E19" s="265" t="s">
        <v>17</v>
      </c>
      <c r="F19" s="266">
        <f>K7*J19</f>
        <v>17453.049362614125</v>
      </c>
      <c r="G19" s="266">
        <f>L7*J19</f>
        <v>19306.300952380952</v>
      </c>
      <c r="H19" s="266">
        <f>M7*J19</f>
        <v>14523.723549618318</v>
      </c>
      <c r="I19" s="190" t="s">
        <v>171</v>
      </c>
      <c r="J19" s="145">
        <v>8.9999999999999993E-3</v>
      </c>
      <c r="K19" s="209"/>
      <c r="L19" s="147"/>
      <c r="M19" s="147"/>
      <c r="N19" s="147"/>
      <c r="O19" s="148"/>
      <c r="P19" s="120"/>
      <c r="Q19" s="120"/>
      <c r="R19" s="120"/>
    </row>
    <row r="20" spans="2:18" ht="24.75" thickBot="1" x14ac:dyDescent="0.35">
      <c r="B20" s="258"/>
      <c r="C20" s="255"/>
      <c r="D20" s="133"/>
      <c r="E20" s="265"/>
      <c r="F20" s="266"/>
      <c r="G20" s="266"/>
      <c r="H20" s="266"/>
      <c r="I20" s="191" t="s">
        <v>130</v>
      </c>
      <c r="J20" s="152"/>
      <c r="K20" s="203" t="s">
        <v>131</v>
      </c>
      <c r="L20" s="147"/>
      <c r="M20" s="147"/>
      <c r="N20" s="147"/>
      <c r="O20" s="153"/>
      <c r="P20" s="120"/>
      <c r="Q20" s="120"/>
      <c r="R20" s="120"/>
    </row>
    <row r="21" spans="2:18" x14ac:dyDescent="0.3">
      <c r="B21" s="258"/>
      <c r="C21" s="255"/>
      <c r="D21" s="135"/>
      <c r="E21" s="256" t="s">
        <v>18</v>
      </c>
      <c r="F21" s="264">
        <f>K7*J21</f>
        <v>1163.5366241742752</v>
      </c>
      <c r="G21" s="264">
        <f>L7*J21</f>
        <v>1287.08673015873</v>
      </c>
      <c r="H21" s="264">
        <f>M7*J21</f>
        <v>968.2482366412213</v>
      </c>
      <c r="I21" s="177" t="s">
        <v>177</v>
      </c>
      <c r="J21" s="145">
        <v>5.9999999999999995E-4</v>
      </c>
      <c r="K21" s="146"/>
      <c r="L21" s="147"/>
      <c r="M21" s="147"/>
      <c r="N21" s="147"/>
      <c r="O21" s="148"/>
      <c r="P21" s="120"/>
      <c r="Q21" s="120"/>
      <c r="R21" s="120"/>
    </row>
    <row r="22" spans="2:18" x14ac:dyDescent="0.3">
      <c r="B22" s="258"/>
      <c r="C22" s="255"/>
      <c r="D22" s="135"/>
      <c r="E22" s="260"/>
      <c r="F22" s="261"/>
      <c r="G22" s="261"/>
      <c r="H22" s="261"/>
      <c r="I22" s="180" t="s">
        <v>63</v>
      </c>
      <c r="J22" s="152"/>
      <c r="K22" s="147"/>
      <c r="L22" s="147"/>
      <c r="M22" s="147"/>
      <c r="N22" s="147"/>
      <c r="O22" s="148"/>
      <c r="P22" s="120"/>
      <c r="Q22" s="120"/>
      <c r="R22" s="120"/>
    </row>
    <row r="23" spans="2:18" x14ac:dyDescent="0.3">
      <c r="B23" s="258"/>
      <c r="C23" s="255"/>
      <c r="D23" s="135"/>
      <c r="E23" s="260"/>
      <c r="F23" s="261"/>
      <c r="G23" s="261"/>
      <c r="H23" s="261"/>
      <c r="I23" s="178" t="s">
        <v>213</v>
      </c>
      <c r="J23" s="147"/>
      <c r="K23" s="147"/>
      <c r="L23" s="147"/>
      <c r="M23" s="147"/>
      <c r="N23" s="147"/>
      <c r="O23" s="148"/>
      <c r="P23" s="120"/>
      <c r="Q23" s="120"/>
      <c r="R23" s="120"/>
    </row>
    <row r="24" spans="2:18" x14ac:dyDescent="0.3">
      <c r="B24" s="258"/>
      <c r="C24" s="255"/>
      <c r="D24" s="135"/>
      <c r="E24" s="262" t="s">
        <v>30</v>
      </c>
      <c r="F24" s="263">
        <f>K7*J24</f>
        <v>77.569108278285015</v>
      </c>
      <c r="G24" s="263">
        <f>L7*J24</f>
        <v>85.805782010582021</v>
      </c>
      <c r="H24" s="263">
        <f>M7*J24</f>
        <v>64.5498824427481</v>
      </c>
      <c r="I24" s="177" t="s">
        <v>212</v>
      </c>
      <c r="J24" s="154">
        <f>4/100000</f>
        <v>4.0000000000000003E-5</v>
      </c>
      <c r="K24" s="147"/>
      <c r="L24" s="147"/>
      <c r="M24" s="147"/>
      <c r="N24" s="147"/>
      <c r="O24" s="148"/>
      <c r="P24" s="120"/>
      <c r="Q24" s="120"/>
      <c r="R24" s="120"/>
    </row>
    <row r="25" spans="2:18" x14ac:dyDescent="0.3">
      <c r="B25" s="258"/>
      <c r="C25" s="255"/>
      <c r="D25" s="135"/>
      <c r="E25" s="262"/>
      <c r="F25" s="263"/>
      <c r="G25" s="263"/>
      <c r="H25" s="263"/>
      <c r="I25" s="179" t="s">
        <v>210</v>
      </c>
      <c r="J25" s="155"/>
      <c r="K25" s="147"/>
      <c r="L25" s="147"/>
      <c r="M25" s="147"/>
      <c r="N25" s="147"/>
      <c r="O25" s="148"/>
      <c r="P25" s="120"/>
      <c r="Q25" s="120"/>
      <c r="R25" s="120"/>
    </row>
    <row r="26" spans="2:18" x14ac:dyDescent="0.3">
      <c r="B26" s="258"/>
      <c r="C26" s="255"/>
      <c r="D26" s="135"/>
      <c r="E26" s="262"/>
      <c r="F26" s="263"/>
      <c r="G26" s="263"/>
      <c r="H26" s="263"/>
      <c r="I26" s="178" t="s">
        <v>211</v>
      </c>
      <c r="J26" s="147"/>
      <c r="K26" s="240" t="s">
        <v>178</v>
      </c>
      <c r="L26" s="193" t="s">
        <v>179</v>
      </c>
      <c r="M26" s="194" t="s">
        <v>180</v>
      </c>
      <c r="N26" s="147"/>
      <c r="O26" s="148"/>
      <c r="P26" s="120"/>
      <c r="Q26" s="120"/>
      <c r="R26" s="120"/>
    </row>
    <row r="27" spans="2:18" ht="40.5" x14ac:dyDescent="0.3">
      <c r="B27" s="258"/>
      <c r="C27" s="255"/>
      <c r="D27" s="135"/>
      <c r="E27" s="128" t="s">
        <v>31</v>
      </c>
      <c r="F27" s="117">
        <f>M27</f>
        <v>55849.444444444445</v>
      </c>
      <c r="G27" s="117">
        <f>M27</f>
        <v>55849.444444444445</v>
      </c>
      <c r="H27" s="117">
        <f>M27</f>
        <v>55849.444444444445</v>
      </c>
      <c r="I27" s="181" t="s">
        <v>214</v>
      </c>
      <c r="J27" s="147"/>
      <c r="K27" s="195">
        <v>2010580</v>
      </c>
      <c r="L27" s="196">
        <f>K27/12</f>
        <v>167548.33333333334</v>
      </c>
      <c r="M27" s="197">
        <f>L27/3</f>
        <v>55849.444444444445</v>
      </c>
      <c r="N27" s="147"/>
      <c r="O27" s="148"/>
      <c r="P27" s="120"/>
      <c r="Q27" s="120"/>
      <c r="R27" s="120"/>
    </row>
    <row r="28" spans="2:18" x14ac:dyDescent="0.3">
      <c r="B28" s="258"/>
      <c r="C28" s="255"/>
      <c r="D28" s="135"/>
      <c r="E28" s="128" t="s">
        <v>32</v>
      </c>
      <c r="F28" s="117">
        <f>K7*J28</f>
        <v>9696.1385347856267</v>
      </c>
      <c r="G28" s="117">
        <f>L7*J28</f>
        <v>10725.722751322752</v>
      </c>
      <c r="H28" s="117">
        <f>M7*J28</f>
        <v>8068.7353053435118</v>
      </c>
      <c r="I28" s="182" t="s">
        <v>34</v>
      </c>
      <c r="J28" s="156">
        <v>5.0000000000000001E-3</v>
      </c>
      <c r="K28" s="147"/>
      <c r="L28" s="147"/>
      <c r="M28" s="147"/>
      <c r="N28" s="147"/>
      <c r="O28" s="148"/>
      <c r="P28" s="120"/>
      <c r="Q28" s="120"/>
      <c r="R28" s="120"/>
    </row>
    <row r="29" spans="2:18" x14ac:dyDescent="0.3">
      <c r="B29" s="258"/>
      <c r="C29" s="255"/>
      <c r="D29" s="135"/>
      <c r="E29" s="260" t="s">
        <v>19</v>
      </c>
      <c r="F29" s="261">
        <f>ROUNDDOWN(F13*J29,-1)</f>
        <v>8800</v>
      </c>
      <c r="G29" s="261">
        <f>ROUNDDOWN(G13*J29,-1)</f>
        <v>9740</v>
      </c>
      <c r="H29" s="261">
        <f>ROUNDDOWN(H13*J29,-1)</f>
        <v>7320</v>
      </c>
      <c r="I29" s="187" t="s">
        <v>20</v>
      </c>
      <c r="J29" s="192">
        <v>0.12809999999999999</v>
      </c>
      <c r="K29" s="141"/>
      <c r="L29" s="141"/>
      <c r="M29" s="249">
        <f>SUM(F29:H30)*12</f>
        <v>310320</v>
      </c>
      <c r="N29" s="141"/>
      <c r="O29" s="157">
        <f>M29*Q46</f>
        <v>0</v>
      </c>
      <c r="P29" s="120" t="s">
        <v>54</v>
      </c>
      <c r="Q29" s="120"/>
      <c r="R29" s="120"/>
    </row>
    <row r="30" spans="2:18" x14ac:dyDescent="0.3">
      <c r="B30" s="258"/>
      <c r="C30" s="255"/>
      <c r="D30" s="135"/>
      <c r="E30" s="260"/>
      <c r="F30" s="261"/>
      <c r="G30" s="261"/>
      <c r="H30" s="261"/>
      <c r="I30" s="188" t="s">
        <v>175</v>
      </c>
      <c r="J30" s="143"/>
      <c r="K30" s="143" t="s">
        <v>181</v>
      </c>
      <c r="L30" s="143"/>
      <c r="M30" s="143"/>
      <c r="N30" s="143"/>
      <c r="O30" s="158"/>
      <c r="P30" s="120"/>
      <c r="Q30" s="120"/>
      <c r="R30" s="120"/>
    </row>
    <row r="31" spans="2:18" x14ac:dyDescent="0.3">
      <c r="B31" s="258"/>
      <c r="C31" s="255"/>
      <c r="D31" s="136"/>
      <c r="E31" s="137" t="s">
        <v>8</v>
      </c>
      <c r="F31" s="3">
        <f>SUM(F13:F30)</f>
        <v>264543.55972995376</v>
      </c>
      <c r="G31" s="3">
        <f>SUM(G13:G30)</f>
        <v>286715.51706243388</v>
      </c>
      <c r="H31" s="3">
        <f>SUM(H13:H30)</f>
        <v>229484.67790703988</v>
      </c>
      <c r="I31" s="174"/>
      <c r="J31" s="147"/>
      <c r="K31" s="147"/>
      <c r="L31" s="147"/>
      <c r="M31" s="147"/>
      <c r="N31" s="147"/>
      <c r="O31" s="147"/>
      <c r="P31" s="120"/>
      <c r="Q31" s="120"/>
      <c r="R31" s="120"/>
    </row>
    <row r="32" spans="2:18" ht="17.25" customHeight="1" thickBot="1" x14ac:dyDescent="0.35">
      <c r="B32" s="258"/>
      <c r="C32" s="255"/>
      <c r="D32" s="184" t="s">
        <v>159</v>
      </c>
      <c r="E32" s="132" t="s">
        <v>182</v>
      </c>
      <c r="F32" s="114">
        <v>100000</v>
      </c>
      <c r="G32" s="114">
        <v>100000</v>
      </c>
      <c r="H32" s="114">
        <v>100000</v>
      </c>
      <c r="I32" s="164" t="s">
        <v>168</v>
      </c>
      <c r="J32" s="147"/>
      <c r="K32" s="147"/>
      <c r="L32" s="147"/>
      <c r="M32" s="147"/>
      <c r="N32" s="147"/>
      <c r="O32" s="147"/>
      <c r="P32" s="120"/>
      <c r="Q32" s="120"/>
      <c r="R32" s="120"/>
    </row>
    <row r="33" spans="2:18" ht="17.25" customHeight="1" thickBot="1" x14ac:dyDescent="0.35">
      <c r="B33" s="258"/>
      <c r="C33" s="255"/>
      <c r="D33" s="185"/>
      <c r="E33" s="134" t="s">
        <v>21</v>
      </c>
      <c r="F33" s="21">
        <v>9500</v>
      </c>
      <c r="G33" s="21">
        <v>9500</v>
      </c>
      <c r="H33" s="22">
        <v>9500</v>
      </c>
      <c r="I33" s="165" t="s">
        <v>37</v>
      </c>
      <c r="J33" s="161"/>
      <c r="K33" s="241" t="s">
        <v>219</v>
      </c>
      <c r="L33" s="161"/>
      <c r="M33" s="199"/>
      <c r="N33" s="147"/>
      <c r="O33" s="147"/>
      <c r="P33" s="120"/>
      <c r="Q33" s="120"/>
      <c r="R33" s="120"/>
    </row>
    <row r="34" spans="2:18" x14ac:dyDescent="0.3">
      <c r="B34" s="258"/>
      <c r="C34" s="255"/>
      <c r="D34" s="183"/>
      <c r="E34" s="138" t="s">
        <v>33</v>
      </c>
      <c r="F34" s="25">
        <v>10000</v>
      </c>
      <c r="G34" s="198">
        <v>10000</v>
      </c>
      <c r="H34" s="198">
        <v>10000</v>
      </c>
      <c r="I34" s="201" t="s">
        <v>226</v>
      </c>
      <c r="J34" s="200"/>
      <c r="K34" s="202" t="s">
        <v>217</v>
      </c>
      <c r="L34" s="161"/>
      <c r="M34" s="161"/>
      <c r="N34" s="147"/>
      <c r="O34" s="147"/>
      <c r="P34" s="120"/>
      <c r="Q34" s="120"/>
      <c r="R34" s="120"/>
    </row>
    <row r="35" spans="2:18" ht="17.25" thickBot="1" x14ac:dyDescent="0.35">
      <c r="B35" s="258"/>
      <c r="C35" s="255"/>
      <c r="D35" s="183"/>
      <c r="E35" s="137" t="s">
        <v>8</v>
      </c>
      <c r="F35" s="3">
        <f>SUM(F32:F34)</f>
        <v>119500</v>
      </c>
      <c r="G35" s="3">
        <f t="shared" ref="G35:H35" si="1">SUM(G32:G34)</f>
        <v>119500</v>
      </c>
      <c r="H35" s="3">
        <f t="shared" si="1"/>
        <v>119500</v>
      </c>
      <c r="I35" s="164"/>
      <c r="J35" s="161"/>
      <c r="K35" s="161"/>
      <c r="L35" s="161"/>
      <c r="M35" s="161"/>
      <c r="N35" s="147"/>
      <c r="O35" s="147"/>
      <c r="P35" s="120"/>
      <c r="Q35" s="120"/>
      <c r="R35" s="120"/>
    </row>
    <row r="36" spans="2:18" ht="17.25" thickBot="1" x14ac:dyDescent="0.35">
      <c r="B36" s="259"/>
      <c r="C36" s="256"/>
      <c r="D36" s="186"/>
      <c r="E36" s="127" t="s">
        <v>70</v>
      </c>
      <c r="F36" s="118">
        <f>'2024직접노무비명세(12월)'!D18</f>
        <v>106691.92182465091</v>
      </c>
      <c r="G36" s="118">
        <f>'2024직접노무비명세(12월)'!E18</f>
        <v>118298.41269841271</v>
      </c>
      <c r="H36" s="119">
        <f>'2024직접노무비명세(12월)'!F18</f>
        <v>88667.420937840783</v>
      </c>
      <c r="I36" s="166"/>
      <c r="J36" s="161"/>
      <c r="K36" s="161"/>
      <c r="L36" s="161"/>
      <c r="M36" s="161"/>
      <c r="N36" s="147"/>
      <c r="O36" s="147"/>
      <c r="P36" s="120"/>
      <c r="Q36" s="120"/>
      <c r="R36" s="120"/>
    </row>
    <row r="37" spans="2:18" x14ac:dyDescent="0.3">
      <c r="B37" s="260" t="s">
        <v>22</v>
      </c>
      <c r="C37" s="260"/>
      <c r="D37" s="260"/>
      <c r="E37" s="256"/>
      <c r="F37" s="25">
        <f>SUM(F35,F31,F12,F36)</f>
        <v>2591565.4974248237</v>
      </c>
      <c r="G37" s="25">
        <f t="shared" ref="G37:H37" si="2">SUM(G35,G31,G12,G36)</f>
        <v>2848420.5258807763</v>
      </c>
      <c r="H37" s="25">
        <f t="shared" si="2"/>
        <v>2185878.0816693082</v>
      </c>
      <c r="I37" s="164" t="s">
        <v>23</v>
      </c>
      <c r="J37" s="147"/>
      <c r="K37" s="147"/>
      <c r="L37" s="147"/>
      <c r="M37" s="147"/>
      <c r="N37" s="147"/>
      <c r="O37" s="147"/>
      <c r="P37" s="120"/>
      <c r="Q37" s="120"/>
      <c r="R37" s="120"/>
    </row>
    <row r="38" spans="2:18" x14ac:dyDescent="0.3">
      <c r="B38" s="260" t="s">
        <v>157</v>
      </c>
      <c r="C38" s="260"/>
      <c r="D38" s="260"/>
      <c r="E38" s="260"/>
      <c r="F38" s="115">
        <f>SUM(F37)*J38</f>
        <v>103662.61989699295</v>
      </c>
      <c r="G38" s="115">
        <f>SUM(G37)*J38</f>
        <v>113936.82103523106</v>
      </c>
      <c r="H38" s="115">
        <f>SUM(H37)*J38</f>
        <v>87435.123266772338</v>
      </c>
      <c r="I38" s="167" t="s">
        <v>173</v>
      </c>
      <c r="J38" s="159">
        <v>0.04</v>
      </c>
      <c r="K38" s="147"/>
      <c r="L38" s="147"/>
      <c r="M38" s="147"/>
      <c r="N38" s="147"/>
      <c r="O38" s="147"/>
      <c r="P38" s="120"/>
      <c r="Q38" s="120"/>
      <c r="R38" s="120"/>
    </row>
    <row r="39" spans="2:18" ht="27" x14ac:dyDescent="0.3">
      <c r="B39" s="260" t="s">
        <v>158</v>
      </c>
      <c r="C39" s="260"/>
      <c r="D39" s="260"/>
      <c r="E39" s="260"/>
      <c r="F39" s="115">
        <f>SUM(F37:F38)*J39</f>
        <v>161713.68703930901</v>
      </c>
      <c r="G39" s="115">
        <f>SUM(G37:G38)*J39</f>
        <v>177741.44081496043</v>
      </c>
      <c r="H39" s="115">
        <f>SUM(H37:H38)*J39</f>
        <v>136398.79229616484</v>
      </c>
      <c r="I39" s="171" t="s">
        <v>174</v>
      </c>
      <c r="J39" s="159">
        <v>0.06</v>
      </c>
      <c r="K39" s="147"/>
      <c r="L39" s="147"/>
      <c r="M39" s="147"/>
      <c r="N39" s="147"/>
      <c r="O39" s="147"/>
      <c r="P39" s="120"/>
      <c r="Q39" s="120"/>
      <c r="R39" s="120"/>
    </row>
    <row r="40" spans="2:18" x14ac:dyDescent="0.3">
      <c r="B40" s="272" t="s">
        <v>24</v>
      </c>
      <c r="C40" s="272"/>
      <c r="D40" s="272"/>
      <c r="E40" s="272"/>
      <c r="F40" s="116">
        <f>ROUNDDOWN(SUM(F37:F39),-3)</f>
        <v>2856000</v>
      </c>
      <c r="G40" s="116">
        <f t="shared" ref="G40:H40" si="3">ROUNDDOWN(SUM(G37:G39),-3)</f>
        <v>3140000</v>
      </c>
      <c r="H40" s="116">
        <f t="shared" si="3"/>
        <v>2409000</v>
      </c>
      <c r="I40" s="168" t="s">
        <v>25</v>
      </c>
      <c r="J40" s="147"/>
      <c r="K40" s="147"/>
      <c r="L40" s="147"/>
      <c r="M40" s="147"/>
      <c r="N40" s="147"/>
      <c r="O40" s="147"/>
      <c r="P40" s="120"/>
      <c r="Q40" s="120"/>
      <c r="R40" s="120"/>
    </row>
    <row r="41" spans="2:18" x14ac:dyDescent="0.3">
      <c r="B41" s="260" t="s">
        <v>26</v>
      </c>
      <c r="C41" s="260"/>
      <c r="D41" s="260"/>
      <c r="E41" s="260"/>
      <c r="F41" s="115">
        <f>F40</f>
        <v>2856000</v>
      </c>
      <c r="G41" s="115">
        <f>G40</f>
        <v>3140000</v>
      </c>
      <c r="H41" s="115">
        <f>H40</f>
        <v>2409000</v>
      </c>
      <c r="I41" s="164" t="s">
        <v>218</v>
      </c>
      <c r="J41" s="147"/>
      <c r="K41" s="147"/>
      <c r="L41" s="147"/>
      <c r="M41" s="147"/>
      <c r="N41" s="147"/>
      <c r="O41" s="147"/>
      <c r="P41" s="120"/>
      <c r="Q41" s="120"/>
      <c r="R41" s="120"/>
    </row>
    <row r="42" spans="2:18" x14ac:dyDescent="0.3">
      <c r="B42" s="272" t="s">
        <v>27</v>
      </c>
      <c r="C42" s="272"/>
      <c r="D42" s="272"/>
      <c r="E42" s="272"/>
      <c r="F42" s="116">
        <f>F41*J42</f>
        <v>34272000</v>
      </c>
      <c r="G42" s="116">
        <f>G41*J42</f>
        <v>37680000</v>
      </c>
      <c r="H42" s="116">
        <f>H41*J42</f>
        <v>28908000</v>
      </c>
      <c r="I42" s="164" t="s">
        <v>28</v>
      </c>
      <c r="J42" s="160">
        <v>12</v>
      </c>
      <c r="K42" s="147"/>
      <c r="L42" s="147"/>
      <c r="M42" s="147"/>
      <c r="N42" s="147"/>
      <c r="O42" s="147"/>
      <c r="P42" s="120"/>
      <c r="Q42" s="120"/>
      <c r="R42" s="120"/>
    </row>
    <row r="43" spans="2:18" x14ac:dyDescent="0.3">
      <c r="B43" s="272" t="s">
        <v>29</v>
      </c>
      <c r="C43" s="272"/>
      <c r="D43" s="272"/>
      <c r="E43" s="272"/>
      <c r="F43" s="273">
        <f>SUM(F42:H42)</f>
        <v>100860000</v>
      </c>
      <c r="G43" s="273"/>
      <c r="H43" s="273"/>
      <c r="I43" s="164"/>
      <c r="J43" s="147"/>
      <c r="K43" s="146">
        <f>F45*N43</f>
        <v>127587899.99999999</v>
      </c>
      <c r="L43" s="161"/>
      <c r="M43" s="161"/>
      <c r="N43" s="161">
        <v>1.1499999999999999</v>
      </c>
      <c r="O43" s="147"/>
      <c r="P43" s="120"/>
      <c r="Q43" s="120"/>
      <c r="R43" s="120"/>
    </row>
    <row r="44" spans="2:18" x14ac:dyDescent="0.3">
      <c r="B44" s="260" t="s">
        <v>170</v>
      </c>
      <c r="C44" s="260"/>
      <c r="D44" s="260"/>
      <c r="E44" s="260"/>
      <c r="F44" s="261">
        <f>F43*I44</f>
        <v>10086000</v>
      </c>
      <c r="G44" s="261"/>
      <c r="H44" s="261"/>
      <c r="I44" s="169">
        <v>0.1</v>
      </c>
      <c r="J44" s="147"/>
      <c r="K44" s="146">
        <f>F45*N44</f>
        <v>13596432.300000004</v>
      </c>
      <c r="L44" s="161">
        <v>1</v>
      </c>
      <c r="M44" s="162">
        <v>0.87744999999999995</v>
      </c>
      <c r="N44" s="161">
        <f>L44-M44</f>
        <v>0.12255000000000005</v>
      </c>
      <c r="O44" s="161"/>
      <c r="R44" s="120"/>
    </row>
    <row r="45" spans="2:18" ht="17.25" thickBot="1" x14ac:dyDescent="0.35">
      <c r="B45" s="270" t="s">
        <v>3</v>
      </c>
      <c r="C45" s="270"/>
      <c r="D45" s="270"/>
      <c r="E45" s="270"/>
      <c r="F45" s="271">
        <f>SUM(F43:H44)</f>
        <v>110946000</v>
      </c>
      <c r="G45" s="271"/>
      <c r="H45" s="271"/>
      <c r="I45" s="170"/>
      <c r="J45" s="147"/>
      <c r="K45" s="146">
        <f>F45*N45</f>
        <v>16924812.300000004</v>
      </c>
      <c r="L45" s="161"/>
      <c r="M45" s="162">
        <v>0.03</v>
      </c>
      <c r="N45" s="161">
        <f>N44+M45</f>
        <v>0.15255000000000005</v>
      </c>
      <c r="O45" s="161"/>
      <c r="P45" s="125"/>
      <c r="Q45" s="125"/>
      <c r="R45" s="120"/>
    </row>
    <row r="46" spans="2:18" ht="18" thickTop="1" thickBot="1" x14ac:dyDescent="0.35">
      <c r="B46" s="120"/>
      <c r="C46" s="120"/>
      <c r="D46" s="120"/>
      <c r="E46" s="120"/>
      <c r="F46" s="120"/>
      <c r="G46" s="120"/>
      <c r="H46" s="120"/>
      <c r="I46" s="120"/>
      <c r="J46" s="147"/>
      <c r="K46" s="163">
        <f>F45*N46</f>
        <v>127870812.3</v>
      </c>
      <c r="L46" s="161"/>
      <c r="M46" s="161">
        <v>1</v>
      </c>
      <c r="N46" s="161">
        <f>M46+N45</f>
        <v>1.15255</v>
      </c>
      <c r="O46" s="161"/>
      <c r="P46" s="205" t="s">
        <v>155</v>
      </c>
      <c r="Q46" s="172"/>
      <c r="R46" s="120"/>
    </row>
    <row r="47" spans="2:18" ht="17.25" thickTop="1" x14ac:dyDescent="0.3">
      <c r="B47" s="120"/>
      <c r="C47" s="120"/>
      <c r="D47" s="120"/>
      <c r="E47" s="120"/>
      <c r="F47" s="120"/>
      <c r="G47" s="120"/>
      <c r="H47" s="120"/>
      <c r="I47" s="120"/>
      <c r="J47" s="120"/>
      <c r="O47" s="125"/>
      <c r="P47" s="125"/>
      <c r="Q47" s="125"/>
      <c r="R47" s="120"/>
    </row>
    <row r="48" spans="2:18" x14ac:dyDescent="0.3">
      <c r="K48" s="19"/>
      <c r="L48" s="20"/>
      <c r="M48" s="14"/>
      <c r="N48" s="20"/>
      <c r="O48" s="14"/>
      <c r="P48" s="14"/>
      <c r="Q48" s="14"/>
    </row>
    <row r="49" spans="11:17" x14ac:dyDescent="0.3">
      <c r="K49" s="19"/>
      <c r="L49" s="14"/>
      <c r="M49" s="14"/>
      <c r="N49" s="14"/>
      <c r="O49" s="14"/>
      <c r="P49" s="14"/>
      <c r="Q49" s="14"/>
    </row>
    <row r="50" spans="11:17" x14ac:dyDescent="0.3">
      <c r="K50" s="19"/>
      <c r="L50" s="14"/>
      <c r="M50" s="14"/>
      <c r="N50" s="14"/>
      <c r="O50" s="14"/>
      <c r="P50" s="14"/>
      <c r="Q50" s="14"/>
    </row>
  </sheetData>
  <mergeCells count="48">
    <mergeCell ref="H24:H26"/>
    <mergeCell ref="E29:E30"/>
    <mergeCell ref="F29:F30"/>
    <mergeCell ref="G29:G30"/>
    <mergeCell ref="H29:H30"/>
    <mergeCell ref="B45:E45"/>
    <mergeCell ref="F45:H45"/>
    <mergeCell ref="B37:E37"/>
    <mergeCell ref="B38:E38"/>
    <mergeCell ref="B39:E39"/>
    <mergeCell ref="B40:E40"/>
    <mergeCell ref="B41:E41"/>
    <mergeCell ref="B42:E42"/>
    <mergeCell ref="B43:E43"/>
    <mergeCell ref="F43:H43"/>
    <mergeCell ref="B44:E44"/>
    <mergeCell ref="F44:H44"/>
    <mergeCell ref="B2:I2"/>
    <mergeCell ref="B4:E4"/>
    <mergeCell ref="C5:C6"/>
    <mergeCell ref="D5:D6"/>
    <mergeCell ref="C7:C12"/>
    <mergeCell ref="D7:D12"/>
    <mergeCell ref="E7:E11"/>
    <mergeCell ref="F7:F11"/>
    <mergeCell ref="G7:G11"/>
    <mergeCell ref="H7:H11"/>
    <mergeCell ref="H13:H14"/>
    <mergeCell ref="E21:E23"/>
    <mergeCell ref="F21:F23"/>
    <mergeCell ref="G21:G23"/>
    <mergeCell ref="H21:H23"/>
    <mergeCell ref="E19:E20"/>
    <mergeCell ref="F19:F20"/>
    <mergeCell ref="G19:G20"/>
    <mergeCell ref="H19:H20"/>
    <mergeCell ref="E15:E17"/>
    <mergeCell ref="F15:F17"/>
    <mergeCell ref="G15:G17"/>
    <mergeCell ref="H15:H17"/>
    <mergeCell ref="C13:C36"/>
    <mergeCell ref="B5:B36"/>
    <mergeCell ref="E13:E14"/>
    <mergeCell ref="F13:F14"/>
    <mergeCell ref="G13:G14"/>
    <mergeCell ref="E24:E26"/>
    <mergeCell ref="F24:F26"/>
    <mergeCell ref="G24:G26"/>
  </mergeCells>
  <phoneticPr fontId="5" type="noConversion"/>
  <printOptions horizontalCentered="1"/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tabSelected="1" topLeftCell="A4" zoomScale="77" zoomScaleNormal="77" zoomScaleSheetLayoutView="142" workbookViewId="0">
      <selection activeCell="L6" sqref="L6"/>
    </sheetView>
  </sheetViews>
  <sheetFormatPr defaultRowHeight="16.5" x14ac:dyDescent="0.3"/>
  <cols>
    <col min="2" max="2" width="15.875" bestFit="1" customWidth="1"/>
    <col min="3" max="3" width="20.875" customWidth="1"/>
    <col min="4" max="6" width="13.125" bestFit="1" customWidth="1"/>
    <col min="7" max="7" width="14.375" bestFit="1" customWidth="1"/>
    <col min="8" max="17" width="9" customWidth="1"/>
  </cols>
  <sheetData>
    <row r="1" spans="2:20" x14ac:dyDescent="0.3">
      <c r="B1" t="s">
        <v>38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4"/>
    </row>
    <row r="2" spans="2:20" ht="18" x14ac:dyDescent="0.3">
      <c r="B2" s="289" t="s">
        <v>39</v>
      </c>
      <c r="C2" s="289"/>
      <c r="D2" s="289"/>
      <c r="E2" s="289"/>
      <c r="F2" s="289"/>
      <c r="G2" s="28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4"/>
    </row>
    <row r="3" spans="2:20" ht="17.25" thickBot="1" x14ac:dyDescent="0.35">
      <c r="B3" s="98"/>
      <c r="C3" s="98"/>
      <c r="D3" s="98"/>
      <c r="E3" s="98"/>
      <c r="F3" s="99"/>
      <c r="G3" s="100" t="s">
        <v>0</v>
      </c>
      <c r="H3" s="30"/>
      <c r="I3" s="96">
        <v>9860</v>
      </c>
      <c r="J3" s="27" t="s">
        <v>56</v>
      </c>
      <c r="K3" s="27" t="s">
        <v>185</v>
      </c>
      <c r="L3" s="30"/>
      <c r="M3" s="30"/>
      <c r="N3" s="30"/>
      <c r="O3" s="30"/>
      <c r="P3" s="30"/>
      <c r="Q3" s="30"/>
      <c r="R3" s="30"/>
      <c r="S3" s="30"/>
      <c r="T3" s="14"/>
    </row>
    <row r="4" spans="2:20" ht="18" customHeight="1" x14ac:dyDescent="0.3">
      <c r="B4" s="290" t="s">
        <v>40</v>
      </c>
      <c r="C4" s="292" t="s">
        <v>41</v>
      </c>
      <c r="D4" s="233" t="s">
        <v>65</v>
      </c>
      <c r="E4" s="233" t="s">
        <v>64</v>
      </c>
      <c r="F4" s="233" t="s">
        <v>1</v>
      </c>
      <c r="G4" s="294" t="s">
        <v>2</v>
      </c>
      <c r="H4" s="97"/>
      <c r="I4" s="68" t="s">
        <v>56</v>
      </c>
      <c r="J4" s="68" t="s">
        <v>43</v>
      </c>
      <c r="K4" s="27"/>
      <c r="L4" s="30"/>
      <c r="M4" s="30"/>
      <c r="N4" s="30"/>
      <c r="O4" s="30"/>
      <c r="P4" s="30"/>
      <c r="Q4" s="30"/>
      <c r="R4" s="30"/>
      <c r="S4" s="30"/>
      <c r="T4" s="14"/>
    </row>
    <row r="5" spans="2:20" ht="18" customHeight="1" x14ac:dyDescent="0.3">
      <c r="B5" s="291"/>
      <c r="C5" s="293"/>
      <c r="D5" s="102" t="s">
        <v>42</v>
      </c>
      <c r="E5" s="102" t="s">
        <v>42</v>
      </c>
      <c r="F5" s="102" t="s">
        <v>42</v>
      </c>
      <c r="G5" s="295"/>
      <c r="H5" s="39"/>
      <c r="I5" s="95">
        <f>I3*J5</f>
        <v>78880</v>
      </c>
      <c r="J5" s="27">
        <v>8</v>
      </c>
      <c r="K5" s="40"/>
      <c r="L5" s="40"/>
      <c r="M5" s="40"/>
      <c r="N5" s="40"/>
      <c r="O5" s="40"/>
      <c r="P5" s="40"/>
      <c r="Q5" s="30"/>
      <c r="R5" s="30"/>
      <c r="S5" s="30"/>
      <c r="T5" s="14"/>
    </row>
    <row r="6" spans="2:20" ht="18" customHeight="1" x14ac:dyDescent="0.3">
      <c r="B6" s="296" t="s">
        <v>44</v>
      </c>
      <c r="C6" s="5" t="s">
        <v>74</v>
      </c>
      <c r="D6" s="108">
        <f>I5/J5</f>
        <v>9860</v>
      </c>
      <c r="E6" s="108">
        <f>I5/J5</f>
        <v>9860</v>
      </c>
      <c r="F6" s="108">
        <f>I5/J5</f>
        <v>9860</v>
      </c>
      <c r="G6" s="6" t="s">
        <v>45</v>
      </c>
      <c r="H6" s="39"/>
      <c r="I6" s="30"/>
      <c r="J6" s="30"/>
      <c r="K6" s="30"/>
      <c r="L6" s="30"/>
      <c r="M6" s="30"/>
      <c r="N6" s="30"/>
      <c r="O6" s="39"/>
      <c r="P6" s="26"/>
      <c r="Q6" s="30"/>
      <c r="R6" s="30"/>
      <c r="S6" s="30"/>
      <c r="T6" s="14"/>
    </row>
    <row r="7" spans="2:20" ht="18" customHeight="1" x14ac:dyDescent="0.3">
      <c r="B7" s="296"/>
      <c r="C7" s="5" t="s">
        <v>75</v>
      </c>
      <c r="D7" s="108">
        <f>ROUNDUP(I13+K13,)</f>
        <v>133</v>
      </c>
      <c r="E7" s="108">
        <f>ROUNDUP(N13,)</f>
        <v>174</v>
      </c>
      <c r="F7" s="108">
        <f>ROUNDUP(O13,)</f>
        <v>131</v>
      </c>
      <c r="G7" s="6" t="s">
        <v>50</v>
      </c>
      <c r="H7" s="40"/>
      <c r="I7" s="279" t="s">
        <v>58</v>
      </c>
      <c r="J7" s="280"/>
      <c r="K7" s="41">
        <v>365</v>
      </c>
      <c r="L7" s="41"/>
      <c r="M7" s="41"/>
      <c r="N7" s="41"/>
      <c r="O7" s="234" t="s">
        <v>149</v>
      </c>
      <c r="P7" s="41">
        <f>I11/12</f>
        <v>4.3452380952380958</v>
      </c>
      <c r="Q7" s="27" t="s">
        <v>146</v>
      </c>
      <c r="R7" s="30" t="s">
        <v>94</v>
      </c>
      <c r="S7" s="30"/>
      <c r="T7" s="14"/>
    </row>
    <row r="8" spans="2:20" ht="18" customHeight="1" thickBot="1" x14ac:dyDescent="0.35">
      <c r="B8" s="296"/>
      <c r="C8" s="5" t="s">
        <v>57</v>
      </c>
      <c r="D8" s="108">
        <f>D7*D6</f>
        <v>1311380</v>
      </c>
      <c r="E8" s="108">
        <f>E7*E6</f>
        <v>1715640</v>
      </c>
      <c r="F8" s="108">
        <f>F7*F6</f>
        <v>1291660</v>
      </c>
      <c r="G8" s="6"/>
      <c r="H8" s="27"/>
      <c r="I8" s="42"/>
      <c r="J8" s="42"/>
      <c r="K8" s="42"/>
      <c r="L8" s="42"/>
      <c r="M8" s="43" t="s">
        <v>126</v>
      </c>
      <c r="N8" s="42"/>
      <c r="O8" s="42"/>
      <c r="P8" s="42"/>
      <c r="Q8" s="27"/>
      <c r="R8" s="30"/>
      <c r="S8" s="30"/>
      <c r="T8" s="14"/>
    </row>
    <row r="9" spans="2:20" ht="33" x14ac:dyDescent="0.3">
      <c r="B9" s="16" t="s">
        <v>98</v>
      </c>
      <c r="C9" s="5" t="s">
        <v>46</v>
      </c>
      <c r="D9" s="108">
        <f>D6*6.1*P7</f>
        <v>261348.6904761905</v>
      </c>
      <c r="E9" s="108">
        <f>E6*8*P7</f>
        <v>342752.38095238101</v>
      </c>
      <c r="F9" s="108">
        <f>F6*6*P7</f>
        <v>257064.28571428574</v>
      </c>
      <c r="G9" s="89" t="s">
        <v>150</v>
      </c>
      <c r="H9" s="27"/>
      <c r="I9" s="235" t="s">
        <v>65</v>
      </c>
      <c r="J9" s="236" t="s">
        <v>90</v>
      </c>
      <c r="K9" s="236" t="s">
        <v>86</v>
      </c>
      <c r="L9" s="236" t="s">
        <v>92</v>
      </c>
      <c r="M9" s="237" t="s">
        <v>97</v>
      </c>
      <c r="N9" s="239" t="s">
        <v>64</v>
      </c>
      <c r="O9" s="239" t="s">
        <v>66</v>
      </c>
      <c r="P9" s="247" t="s">
        <v>47</v>
      </c>
      <c r="Q9" s="27"/>
      <c r="R9" s="30"/>
      <c r="S9" s="30"/>
      <c r="T9" s="14"/>
    </row>
    <row r="10" spans="2:20" ht="18" customHeight="1" x14ac:dyDescent="0.3">
      <c r="B10" s="8" t="s">
        <v>48</v>
      </c>
      <c r="C10" s="11" t="s">
        <v>100</v>
      </c>
      <c r="D10" s="109">
        <f>SUM(D8:D9)</f>
        <v>1572728.6904761905</v>
      </c>
      <c r="E10" s="109">
        <f>SUM(E8:E9)</f>
        <v>2058392.3809523811</v>
      </c>
      <c r="F10" s="109">
        <f>SUM(F8:F9)</f>
        <v>1548724.2857142857</v>
      </c>
      <c r="G10" s="9" t="s">
        <v>101</v>
      </c>
      <c r="H10" s="44">
        <v>1</v>
      </c>
      <c r="I10" s="77">
        <v>27.5</v>
      </c>
      <c r="J10" s="78">
        <v>2.5</v>
      </c>
      <c r="K10" s="15">
        <v>3</v>
      </c>
      <c r="L10" s="78">
        <v>3</v>
      </c>
      <c r="M10" s="79"/>
      <c r="N10" s="80">
        <v>40</v>
      </c>
      <c r="O10" s="51">
        <v>30</v>
      </c>
      <c r="P10" s="81" t="s">
        <v>62</v>
      </c>
      <c r="Q10" s="27"/>
      <c r="R10" s="30" t="s">
        <v>120</v>
      </c>
      <c r="S10" s="30"/>
      <c r="T10" s="14"/>
    </row>
    <row r="11" spans="2:20" ht="18" customHeight="1" x14ac:dyDescent="0.3">
      <c r="B11" s="7" t="s">
        <v>96</v>
      </c>
      <c r="C11" s="5" t="s">
        <v>102</v>
      </c>
      <c r="D11" s="108">
        <f>D6*0.5*J13</f>
        <v>53555.059523809527</v>
      </c>
      <c r="E11" s="108">
        <v>0</v>
      </c>
      <c r="F11" s="108">
        <v>0</v>
      </c>
      <c r="G11" s="6" t="s">
        <v>162</v>
      </c>
      <c r="H11" s="44">
        <v>2</v>
      </c>
      <c r="I11" s="77">
        <f>$K7/7</f>
        <v>52.142857142857146</v>
      </c>
      <c r="J11" s="78">
        <f>$K7/7</f>
        <v>52.142857142857146</v>
      </c>
      <c r="K11" s="78">
        <f>$K7/7</f>
        <v>52.142857142857146</v>
      </c>
      <c r="L11" s="78">
        <f>$K7/7</f>
        <v>52.142857142857146</v>
      </c>
      <c r="M11" s="79"/>
      <c r="N11" s="80">
        <f>$K7/7</f>
        <v>52.142857142857146</v>
      </c>
      <c r="O11" s="80">
        <f>$K7/7</f>
        <v>52.142857142857146</v>
      </c>
      <c r="P11" s="81" t="s">
        <v>59</v>
      </c>
      <c r="Q11" s="27" t="s">
        <v>136</v>
      </c>
      <c r="R11" s="30" t="s">
        <v>93</v>
      </c>
      <c r="S11" s="30"/>
      <c r="T11" s="14"/>
    </row>
    <row r="12" spans="2:20" ht="18" customHeight="1" x14ac:dyDescent="0.3">
      <c r="B12" s="7" t="s">
        <v>81</v>
      </c>
      <c r="C12" s="5" t="s">
        <v>68</v>
      </c>
      <c r="D12" s="108">
        <f>D6*1.5*L13</f>
        <v>192798.21428571429</v>
      </c>
      <c r="E12" s="108">
        <v>0</v>
      </c>
      <c r="F12" s="108">
        <v>0</v>
      </c>
      <c r="G12" s="6" t="s">
        <v>95</v>
      </c>
      <c r="H12" s="44">
        <v>3</v>
      </c>
      <c r="I12" s="77">
        <f>I11*I10</f>
        <v>1433.9285714285716</v>
      </c>
      <c r="J12" s="78">
        <f>J11*J10</f>
        <v>130.35714285714286</v>
      </c>
      <c r="K12" s="78">
        <f>K11*K10</f>
        <v>156.42857142857144</v>
      </c>
      <c r="L12" s="78">
        <f>L11*L10</f>
        <v>156.42857142857144</v>
      </c>
      <c r="M12" s="79"/>
      <c r="N12" s="80">
        <f>N11*N10</f>
        <v>2085.7142857142858</v>
      </c>
      <c r="O12" s="80">
        <f>O11*O10</f>
        <v>1564.2857142857144</v>
      </c>
      <c r="P12" s="81" t="s">
        <v>60</v>
      </c>
      <c r="Q12" s="27" t="s">
        <v>137</v>
      </c>
      <c r="R12" s="30" t="s">
        <v>118</v>
      </c>
      <c r="S12" s="30"/>
      <c r="T12" s="14"/>
    </row>
    <row r="13" spans="2:20" ht="18" customHeight="1" thickBot="1" x14ac:dyDescent="0.35">
      <c r="B13" s="16" t="s">
        <v>112</v>
      </c>
      <c r="C13" s="101" t="s">
        <v>151</v>
      </c>
      <c r="D13" s="108">
        <f>D6*1.5*M13</f>
        <v>41905</v>
      </c>
      <c r="E13" s="108">
        <v>0</v>
      </c>
      <c r="F13" s="108">
        <v>0</v>
      </c>
      <c r="G13" s="6" t="s">
        <v>223</v>
      </c>
      <c r="H13" s="27"/>
      <c r="I13" s="82">
        <f t="shared" ref="I13:N13" si="0">I12/12</f>
        <v>119.49404761904763</v>
      </c>
      <c r="J13" s="83">
        <f t="shared" si="0"/>
        <v>10.863095238095239</v>
      </c>
      <c r="K13" s="83">
        <f>K12/12</f>
        <v>13.035714285714286</v>
      </c>
      <c r="L13" s="83">
        <f t="shared" si="0"/>
        <v>13.035714285714286</v>
      </c>
      <c r="M13" s="246">
        <f>E28</f>
        <v>2.8333333333333335</v>
      </c>
      <c r="N13" s="84">
        <f t="shared" si="0"/>
        <v>173.80952380952382</v>
      </c>
      <c r="O13" s="84">
        <f>O12/12</f>
        <v>130.35714285714286</v>
      </c>
      <c r="P13" s="85" t="s">
        <v>49</v>
      </c>
      <c r="Q13" s="27" t="s">
        <v>138</v>
      </c>
      <c r="R13" s="30" t="s">
        <v>119</v>
      </c>
      <c r="S13" s="30"/>
      <c r="T13" s="14"/>
    </row>
    <row r="14" spans="2:20" ht="18" customHeight="1" thickBot="1" x14ac:dyDescent="0.35">
      <c r="B14" s="16" t="s">
        <v>104</v>
      </c>
      <c r="C14" s="5" t="s">
        <v>108</v>
      </c>
      <c r="D14" s="108">
        <f>(D10+D11+D12+D13)/D7*6.1*11/12</f>
        <v>78240.74267141067</v>
      </c>
      <c r="E14" s="108">
        <f>E10/E7*8*11/12</f>
        <v>86752.169312169324</v>
      </c>
      <c r="F14" s="108">
        <f>F10/F7*6*11/12</f>
        <v>65022.775354416575</v>
      </c>
      <c r="G14" s="10" t="s">
        <v>80</v>
      </c>
      <c r="H14" s="27"/>
      <c r="I14" s="38"/>
      <c r="J14" s="38"/>
      <c r="K14" s="38"/>
      <c r="L14" s="38"/>
      <c r="M14" s="38"/>
      <c r="N14" s="38"/>
      <c r="O14" s="38"/>
      <c r="P14" s="35"/>
      <c r="Q14" s="60"/>
      <c r="R14" s="61"/>
      <c r="S14" s="61"/>
      <c r="T14" s="45"/>
    </row>
    <row r="15" spans="2:20" ht="18" customHeight="1" x14ac:dyDescent="0.3">
      <c r="B15" s="18" t="s">
        <v>105</v>
      </c>
      <c r="C15" s="11" t="s">
        <v>106</v>
      </c>
      <c r="D15" s="109">
        <f>SUM(D11:D14)</f>
        <v>366499.01648093446</v>
      </c>
      <c r="E15" s="109">
        <f>SUM(E11:E14)</f>
        <v>86752.169312169324</v>
      </c>
      <c r="F15" s="109">
        <f>SUM(F11:F14)</f>
        <v>65022.775354416575</v>
      </c>
      <c r="G15" s="9" t="s">
        <v>107</v>
      </c>
      <c r="H15" s="27"/>
      <c r="I15" s="274" t="s">
        <v>65</v>
      </c>
      <c r="J15" s="275"/>
      <c r="K15" s="275"/>
      <c r="L15" s="275"/>
      <c r="M15" s="276"/>
      <c r="N15" s="238" t="s">
        <v>64</v>
      </c>
      <c r="O15" s="238" t="s">
        <v>66</v>
      </c>
      <c r="P15" s="277" t="s">
        <v>143</v>
      </c>
      <c r="Q15" s="60"/>
      <c r="R15" s="61"/>
      <c r="S15" s="61"/>
      <c r="T15" s="45"/>
    </row>
    <row r="16" spans="2:20" ht="41.25" thickBot="1" x14ac:dyDescent="0.35">
      <c r="B16" s="7" t="s">
        <v>103</v>
      </c>
      <c r="C16" s="5" t="s">
        <v>167</v>
      </c>
      <c r="D16" s="108">
        <f>(D10+D15)/12</f>
        <v>161602.30891309376</v>
      </c>
      <c r="E16" s="108">
        <f>(E10+E15)/12</f>
        <v>178762.0458553792</v>
      </c>
      <c r="F16" s="108">
        <f>(F10+F15)/12</f>
        <v>134478.9217557252</v>
      </c>
      <c r="G16" s="6" t="s">
        <v>51</v>
      </c>
      <c r="H16" s="27"/>
      <c r="I16" s="215" t="s">
        <v>153</v>
      </c>
      <c r="J16" s="216" t="s">
        <v>204</v>
      </c>
      <c r="K16" s="216" t="s">
        <v>154</v>
      </c>
      <c r="L16" s="216" t="s">
        <v>205</v>
      </c>
      <c r="M16" s="217" t="s">
        <v>97</v>
      </c>
      <c r="N16" s="59" t="s">
        <v>69</v>
      </c>
      <c r="O16" s="73" t="s">
        <v>69</v>
      </c>
      <c r="P16" s="278"/>
      <c r="Q16" s="60"/>
      <c r="R16" s="61"/>
      <c r="S16" s="61"/>
      <c r="T16" s="45"/>
    </row>
    <row r="17" spans="1:20" ht="18" customHeight="1" x14ac:dyDescent="0.3">
      <c r="B17" s="103" t="s">
        <v>3</v>
      </c>
      <c r="C17" s="102"/>
      <c r="D17" s="110">
        <f>D10+D15+D16</f>
        <v>2100830.0158702191</v>
      </c>
      <c r="E17" s="110">
        <f t="shared" ref="E17:F17" si="1">E10+E15+E16</f>
        <v>2323906.5961199296</v>
      </c>
      <c r="F17" s="110">
        <f t="shared" si="1"/>
        <v>1748225.9828244275</v>
      </c>
      <c r="G17" s="104" t="s">
        <v>115</v>
      </c>
      <c r="H17" s="27"/>
      <c r="I17" s="69" t="s">
        <v>78</v>
      </c>
      <c r="J17" s="70" t="s">
        <v>79</v>
      </c>
      <c r="K17" s="71" t="s">
        <v>78</v>
      </c>
      <c r="L17" s="71" t="s">
        <v>71</v>
      </c>
      <c r="M17" s="50" t="s">
        <v>133</v>
      </c>
      <c r="N17" s="72" t="s">
        <v>73</v>
      </c>
      <c r="O17" s="69" t="s">
        <v>76</v>
      </c>
      <c r="P17" s="287" t="s">
        <v>207</v>
      </c>
      <c r="Q17" s="30"/>
      <c r="R17" s="30"/>
      <c r="S17" s="30"/>
      <c r="T17" s="14"/>
    </row>
    <row r="18" spans="1:20" ht="18" customHeight="1" x14ac:dyDescent="0.3">
      <c r="B18" s="7" t="s">
        <v>110</v>
      </c>
      <c r="C18" s="101" t="s">
        <v>109</v>
      </c>
      <c r="D18" s="111">
        <f>(D10+D11+D12+D13)/D7*6.1*15/12</f>
        <v>106691.92182465091</v>
      </c>
      <c r="E18" s="111">
        <f>(E10/E7)*8*(15/12)</f>
        <v>118298.41269841271</v>
      </c>
      <c r="F18" s="111">
        <f>(F10/F7)*6*(15/12)</f>
        <v>88667.420937840783</v>
      </c>
      <c r="G18" s="10" t="s">
        <v>80</v>
      </c>
      <c r="H18" s="27"/>
      <c r="I18" s="33" t="s">
        <v>89</v>
      </c>
      <c r="J18" s="34" t="s">
        <v>89</v>
      </c>
      <c r="K18" s="35" t="s">
        <v>85</v>
      </c>
      <c r="L18" s="35" t="s">
        <v>85</v>
      </c>
      <c r="M18" s="36" t="s">
        <v>134</v>
      </c>
      <c r="N18" s="37" t="s">
        <v>71</v>
      </c>
      <c r="O18" s="33" t="s">
        <v>77</v>
      </c>
      <c r="P18" s="288"/>
      <c r="Q18" s="35"/>
      <c r="R18" s="35"/>
      <c r="S18" s="30"/>
      <c r="T18" s="14"/>
    </row>
    <row r="19" spans="1:20" ht="18" customHeight="1" thickBot="1" x14ac:dyDescent="0.35">
      <c r="B19" s="105" t="s">
        <v>114</v>
      </c>
      <c r="C19" s="106"/>
      <c r="D19" s="112">
        <f>SUM(D17:D18)</f>
        <v>2207521.9376948699</v>
      </c>
      <c r="E19" s="112">
        <f>SUM(E17:E18)</f>
        <v>2442205.0088183424</v>
      </c>
      <c r="F19" s="112">
        <f>SUM(F17:F18)</f>
        <v>1836893.4037622684</v>
      </c>
      <c r="G19" s="107" t="s">
        <v>113</v>
      </c>
      <c r="H19" s="27"/>
      <c r="I19" s="218" t="s">
        <v>99</v>
      </c>
      <c r="J19" s="219" t="s">
        <v>91</v>
      </c>
      <c r="K19" s="219" t="s">
        <v>88</v>
      </c>
      <c r="L19" s="219" t="s">
        <v>88</v>
      </c>
      <c r="M19" s="253" t="s">
        <v>135</v>
      </c>
      <c r="N19" s="220" t="s">
        <v>72</v>
      </c>
      <c r="O19" s="218" t="s">
        <v>67</v>
      </c>
      <c r="P19" s="59" t="s">
        <v>144</v>
      </c>
      <c r="Q19" s="30"/>
      <c r="R19" s="30"/>
      <c r="S19" s="30"/>
      <c r="T19" s="14"/>
    </row>
    <row r="20" spans="1:20" ht="18" customHeight="1" thickTop="1" thickBot="1" x14ac:dyDescent="0.35">
      <c r="D20" s="113"/>
      <c r="E20" s="113"/>
      <c r="F20" s="113"/>
      <c r="G20" s="17"/>
      <c r="H20" s="27"/>
      <c r="I20" s="224" t="s">
        <v>61</v>
      </c>
      <c r="J20" s="225" t="s">
        <v>61</v>
      </c>
      <c r="K20" s="225" t="s">
        <v>87</v>
      </c>
      <c r="L20" s="225" t="s">
        <v>87</v>
      </c>
      <c r="M20" s="226" t="s">
        <v>225</v>
      </c>
      <c r="N20" s="227" t="s">
        <v>61</v>
      </c>
      <c r="O20" s="224" t="s">
        <v>61</v>
      </c>
      <c r="P20" s="228" t="s">
        <v>132</v>
      </c>
      <c r="Q20" s="30"/>
      <c r="R20" s="30"/>
      <c r="S20" s="30"/>
      <c r="T20" s="14"/>
    </row>
    <row r="21" spans="1:20" ht="18" customHeight="1" thickTop="1" thickBot="1" x14ac:dyDescent="0.35">
      <c r="B21" s="229" t="s">
        <v>152</v>
      </c>
      <c r="C21" s="230" t="s">
        <v>117</v>
      </c>
      <c r="D21" s="231">
        <f>D17-D16</f>
        <v>1939227.7069571253</v>
      </c>
      <c r="E21" s="231">
        <f>E17-E16</f>
        <v>2145144.5502645504</v>
      </c>
      <c r="F21" s="231">
        <f>F17-F16</f>
        <v>1613747.0610687023</v>
      </c>
      <c r="G21" s="232" t="s">
        <v>116</v>
      </c>
      <c r="H21" s="214" t="s">
        <v>203</v>
      </c>
      <c r="I21" s="251" t="s">
        <v>82</v>
      </c>
      <c r="J21" s="221" t="s">
        <v>84</v>
      </c>
      <c r="K21" s="221" t="s">
        <v>84</v>
      </c>
      <c r="L21" s="221" t="s">
        <v>84</v>
      </c>
      <c r="M21" s="222" t="s">
        <v>84</v>
      </c>
      <c r="N21" s="252" t="s">
        <v>83</v>
      </c>
      <c r="O21" s="251" t="s">
        <v>83</v>
      </c>
      <c r="P21" s="223" t="s">
        <v>145</v>
      </c>
      <c r="Q21" s="30"/>
      <c r="R21" s="30"/>
      <c r="S21" s="30"/>
      <c r="T21" s="14"/>
    </row>
    <row r="22" spans="1:20" ht="18" customHeight="1" thickTop="1" thickBot="1" x14ac:dyDescent="0.35">
      <c r="A22" s="30"/>
      <c r="B22" s="62"/>
      <c r="C22" s="62"/>
      <c r="D22" s="63"/>
      <c r="E22" s="63"/>
      <c r="F22" s="63"/>
      <c r="G22" s="63"/>
      <c r="H22" s="27"/>
      <c r="I22" s="53" t="s">
        <v>124</v>
      </c>
      <c r="J22" s="46" t="s">
        <v>128</v>
      </c>
      <c r="K22" s="35"/>
      <c r="L22" s="46" t="s">
        <v>129</v>
      </c>
      <c r="M22" s="36"/>
      <c r="N22" s="37" t="s">
        <v>122</v>
      </c>
      <c r="O22" s="33" t="s">
        <v>122</v>
      </c>
      <c r="P22" s="285" t="s">
        <v>206</v>
      </c>
      <c r="Q22" s="30"/>
      <c r="R22" s="30"/>
      <c r="S22" s="30"/>
      <c r="T22" s="14"/>
    </row>
    <row r="23" spans="1:20" ht="18" customHeight="1" thickBot="1" x14ac:dyDescent="0.35">
      <c r="A23" s="30"/>
      <c r="B23" s="86" t="s">
        <v>147</v>
      </c>
      <c r="C23" s="87" t="s">
        <v>148</v>
      </c>
      <c r="D23" s="87">
        <f>(I10+K10)/5</f>
        <v>6.1</v>
      </c>
      <c r="E23" s="87">
        <f>N10/5</f>
        <v>8</v>
      </c>
      <c r="F23" s="87">
        <f>O10/5</f>
        <v>6</v>
      </c>
      <c r="G23" s="88"/>
      <c r="H23" s="27"/>
      <c r="I23" s="54" t="s">
        <v>125</v>
      </c>
      <c r="J23" s="55"/>
      <c r="K23" s="55"/>
      <c r="L23" s="55"/>
      <c r="M23" s="56"/>
      <c r="N23" s="57" t="s">
        <v>121</v>
      </c>
      <c r="O23" s="58" t="s">
        <v>121</v>
      </c>
      <c r="P23" s="286"/>
      <c r="Q23" s="30"/>
      <c r="R23" s="30"/>
      <c r="S23" s="30"/>
      <c r="T23" s="14"/>
    </row>
    <row r="24" spans="1:20" ht="18" customHeight="1" thickBot="1" x14ac:dyDescent="0.35">
      <c r="A24" s="30"/>
      <c r="B24" s="29" t="s">
        <v>111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4"/>
    </row>
    <row r="25" spans="1:20" ht="18" customHeight="1" x14ac:dyDescent="0.3">
      <c r="A25" s="30"/>
      <c r="B25" s="75"/>
      <c r="C25" s="76" t="s">
        <v>224</v>
      </c>
      <c r="D25" s="242"/>
      <c r="E25" s="283" t="s">
        <v>142</v>
      </c>
      <c r="F25" s="283"/>
      <c r="G25" s="284"/>
      <c r="H25" s="27"/>
      <c r="I25" s="281" t="s">
        <v>127</v>
      </c>
      <c r="J25" s="282"/>
      <c r="K25" s="14"/>
      <c r="L25" s="14"/>
      <c r="M25" s="14"/>
      <c r="N25" s="14"/>
      <c r="O25" s="14"/>
      <c r="P25" s="14"/>
      <c r="Q25" s="30"/>
      <c r="R25" s="30"/>
      <c r="S25" s="30"/>
      <c r="T25" s="14"/>
    </row>
    <row r="26" spans="1:20" x14ac:dyDescent="0.3">
      <c r="A26" s="30"/>
      <c r="B26" s="212">
        <v>45292</v>
      </c>
      <c r="C26" s="213" t="s">
        <v>186</v>
      </c>
      <c r="D26" s="28">
        <v>1</v>
      </c>
      <c r="E26" s="12"/>
      <c r="F26" s="12" t="s">
        <v>123</v>
      </c>
      <c r="G26" s="90"/>
      <c r="H26" s="27"/>
      <c r="I26" s="52">
        <v>7</v>
      </c>
      <c r="J26" s="64">
        <v>16</v>
      </c>
      <c r="K26" s="30"/>
      <c r="L26" s="30"/>
      <c r="M26" s="30"/>
      <c r="N26" s="30"/>
      <c r="O26" s="30"/>
      <c r="P26" s="30"/>
      <c r="Q26" s="30"/>
      <c r="R26" s="30"/>
      <c r="S26" s="30"/>
      <c r="T26" s="14"/>
    </row>
    <row r="27" spans="1:20" x14ac:dyDescent="0.3">
      <c r="A27" s="30"/>
      <c r="B27" s="48">
        <v>45331</v>
      </c>
      <c r="C27" s="26" t="s">
        <v>187</v>
      </c>
      <c r="D27" s="28">
        <v>2</v>
      </c>
      <c r="E27" s="74"/>
      <c r="F27" s="74" t="s">
        <v>221</v>
      </c>
      <c r="G27" s="91"/>
      <c r="H27" s="30"/>
      <c r="I27" s="52">
        <v>8</v>
      </c>
      <c r="J27" s="64">
        <v>17</v>
      </c>
      <c r="K27" s="30"/>
      <c r="L27" s="30"/>
      <c r="M27" s="30"/>
      <c r="N27" s="30"/>
      <c r="O27" s="30"/>
      <c r="P27" s="30"/>
      <c r="Q27" s="30"/>
      <c r="R27" s="30"/>
      <c r="S27" s="30"/>
      <c r="T27" s="14"/>
    </row>
    <row r="28" spans="1:20" x14ac:dyDescent="0.3">
      <c r="A28" s="30"/>
      <c r="B28" s="47">
        <v>45332</v>
      </c>
      <c r="C28" s="31" t="s">
        <v>188</v>
      </c>
      <c r="D28" s="28">
        <v>3</v>
      </c>
      <c r="E28" s="35">
        <f>17*2/12</f>
        <v>2.8333333333333335</v>
      </c>
      <c r="F28" s="34" t="s">
        <v>222</v>
      </c>
      <c r="G28" s="92" t="s">
        <v>119</v>
      </c>
      <c r="H28" s="30"/>
      <c r="I28" s="52">
        <v>9</v>
      </c>
      <c r="J28" s="64">
        <v>18</v>
      </c>
      <c r="K28" s="30"/>
      <c r="L28" s="30"/>
      <c r="M28" s="30"/>
      <c r="N28" s="30"/>
      <c r="O28" s="30"/>
      <c r="P28" s="30"/>
      <c r="Q28" s="30"/>
      <c r="R28" s="30"/>
      <c r="S28" s="30"/>
      <c r="T28" s="14"/>
    </row>
    <row r="29" spans="1:20" x14ac:dyDescent="0.3">
      <c r="A29" s="30"/>
      <c r="B29" s="48">
        <v>45334</v>
      </c>
      <c r="C29" s="26" t="s">
        <v>189</v>
      </c>
      <c r="D29" s="28">
        <v>4</v>
      </c>
      <c r="E29" s="46">
        <f>E28/P7</f>
        <v>0.65205479452054793</v>
      </c>
      <c r="F29" s="34" t="s">
        <v>140</v>
      </c>
      <c r="G29" s="92" t="s">
        <v>120</v>
      </c>
      <c r="H29" s="30"/>
      <c r="I29" s="52">
        <v>10</v>
      </c>
      <c r="J29" s="64">
        <v>19</v>
      </c>
      <c r="K29" s="30"/>
      <c r="L29" s="30"/>
      <c r="M29" s="30"/>
      <c r="N29" s="30"/>
      <c r="O29" s="30"/>
      <c r="P29" s="30"/>
      <c r="Q29" s="30"/>
      <c r="R29" s="30"/>
      <c r="S29" s="30"/>
      <c r="T29" s="14"/>
    </row>
    <row r="30" spans="1:20" ht="17.25" thickBot="1" x14ac:dyDescent="0.35">
      <c r="A30" s="30"/>
      <c r="B30" s="48">
        <v>45352</v>
      </c>
      <c r="C30" s="26" t="s">
        <v>190</v>
      </c>
      <c r="D30" s="28">
        <v>5</v>
      </c>
      <c r="E30" s="93">
        <f>E29/5</f>
        <v>0.13041095890410959</v>
      </c>
      <c r="F30" s="93" t="s">
        <v>141</v>
      </c>
      <c r="G30" s="94" t="s">
        <v>139</v>
      </c>
      <c r="H30" s="30"/>
      <c r="I30" s="52">
        <v>11</v>
      </c>
      <c r="J30" s="64">
        <v>20</v>
      </c>
      <c r="K30" s="30"/>
      <c r="L30" s="30"/>
      <c r="M30" s="30"/>
      <c r="N30" s="30"/>
      <c r="O30" s="30"/>
      <c r="P30" s="30"/>
      <c r="Q30" s="30"/>
      <c r="R30" s="30"/>
      <c r="S30" s="30"/>
      <c r="T30" s="14"/>
    </row>
    <row r="31" spans="1:20" x14ac:dyDescent="0.3">
      <c r="A31" s="30"/>
      <c r="B31" s="48">
        <v>45392</v>
      </c>
      <c r="C31" s="26" t="s">
        <v>191</v>
      </c>
      <c r="D31" s="28">
        <v>6</v>
      </c>
      <c r="E31" s="30"/>
      <c r="F31" s="26"/>
      <c r="G31" s="26"/>
      <c r="H31" s="30"/>
      <c r="I31" s="52">
        <v>12</v>
      </c>
      <c r="J31" s="64">
        <v>21</v>
      </c>
      <c r="K31" s="30"/>
      <c r="L31" s="30"/>
      <c r="M31" s="30"/>
      <c r="N31" s="30"/>
      <c r="O31" s="30"/>
      <c r="P31" s="30"/>
      <c r="Q31" s="30"/>
      <c r="R31" s="30"/>
      <c r="S31" s="30"/>
      <c r="T31" s="14"/>
    </row>
    <row r="32" spans="1:20" x14ac:dyDescent="0.3">
      <c r="A32" s="30"/>
      <c r="B32" s="244">
        <v>45413</v>
      </c>
      <c r="C32" s="245" t="s">
        <v>220</v>
      </c>
      <c r="D32" s="28">
        <v>7</v>
      </c>
      <c r="E32" s="30"/>
      <c r="F32" s="26"/>
      <c r="G32" s="26"/>
      <c r="H32" s="30"/>
      <c r="I32" s="52">
        <v>13</v>
      </c>
      <c r="J32" s="64">
        <v>22</v>
      </c>
      <c r="K32" s="30"/>
      <c r="L32" s="30"/>
      <c r="M32" s="30"/>
      <c r="N32" s="30"/>
      <c r="O32" s="30"/>
      <c r="P32" s="30"/>
      <c r="Q32" s="30"/>
      <c r="R32" s="30"/>
      <c r="S32" s="30"/>
      <c r="T32" s="14"/>
    </row>
    <row r="33" spans="1:19" x14ac:dyDescent="0.3">
      <c r="A33" s="30"/>
      <c r="B33" s="48">
        <v>45418</v>
      </c>
      <c r="C33" s="26" t="s">
        <v>192</v>
      </c>
      <c r="D33" s="28">
        <v>8</v>
      </c>
      <c r="E33" s="30"/>
      <c r="F33" s="26"/>
      <c r="G33" s="26"/>
      <c r="H33" s="30"/>
      <c r="I33" s="52">
        <v>14</v>
      </c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 x14ac:dyDescent="0.3">
      <c r="A34" s="30"/>
      <c r="B34" s="48">
        <v>45427</v>
      </c>
      <c r="C34" s="26" t="s">
        <v>193</v>
      </c>
      <c r="D34" s="28">
        <v>9</v>
      </c>
      <c r="E34" s="30"/>
      <c r="F34" s="26"/>
      <c r="G34" s="26"/>
      <c r="H34" s="30"/>
      <c r="I34" s="52">
        <v>15</v>
      </c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 x14ac:dyDescent="0.3">
      <c r="A35" s="30"/>
      <c r="B35" s="48">
        <v>45429</v>
      </c>
      <c r="C35" s="26" t="s">
        <v>194</v>
      </c>
      <c r="D35" s="243"/>
      <c r="E35" s="30"/>
      <c r="F35" s="26"/>
      <c r="G35" s="26"/>
      <c r="H35" s="30"/>
      <c r="I35" s="65">
        <v>16</v>
      </c>
      <c r="J35" s="66"/>
      <c r="K35" s="30"/>
      <c r="L35" s="30"/>
      <c r="M35" s="30"/>
      <c r="N35" s="30"/>
      <c r="O35" s="30"/>
      <c r="P35" s="30"/>
      <c r="Q35" s="30"/>
      <c r="R35" s="30"/>
      <c r="S35" s="30"/>
    </row>
    <row r="36" spans="1:19" x14ac:dyDescent="0.3">
      <c r="A36" s="30"/>
      <c r="B36" s="48">
        <v>45449</v>
      </c>
      <c r="C36" s="26" t="s">
        <v>195</v>
      </c>
      <c r="D36" s="28">
        <v>10</v>
      </c>
      <c r="E36" s="30"/>
      <c r="F36" s="12"/>
      <c r="G36" s="12"/>
      <c r="H36" s="30"/>
      <c r="I36" s="14"/>
      <c r="J36" s="14"/>
      <c r="K36" s="30"/>
      <c r="L36" s="30"/>
      <c r="M36" s="30"/>
      <c r="N36" s="30"/>
      <c r="O36" s="30"/>
      <c r="P36" s="30"/>
      <c r="Q36" s="30"/>
      <c r="R36" s="30"/>
      <c r="S36" s="30"/>
    </row>
    <row r="37" spans="1:19" x14ac:dyDescent="0.3">
      <c r="A37" s="30"/>
      <c r="B37" s="48">
        <v>45519</v>
      </c>
      <c r="C37" s="26" t="s">
        <v>196</v>
      </c>
      <c r="D37" s="28">
        <v>11</v>
      </c>
      <c r="E37" s="30"/>
      <c r="F37" s="12"/>
      <c r="G37" s="12"/>
      <c r="H37" s="30"/>
      <c r="I37" s="14"/>
      <c r="J37" s="14"/>
      <c r="K37" s="30"/>
      <c r="L37" s="30"/>
      <c r="M37" s="30"/>
      <c r="N37" s="30"/>
      <c r="O37" s="30"/>
      <c r="P37" s="30"/>
      <c r="Q37" s="30"/>
      <c r="R37" s="30"/>
      <c r="S37" s="30"/>
    </row>
    <row r="38" spans="1:19" x14ac:dyDescent="0.3">
      <c r="A38" s="30"/>
      <c r="B38" s="48">
        <v>45551</v>
      </c>
      <c r="C38" s="26" t="s">
        <v>197</v>
      </c>
      <c r="D38" s="28">
        <v>12</v>
      </c>
      <c r="E38" s="30"/>
      <c r="F38" s="12"/>
      <c r="G38" s="12"/>
      <c r="H38" s="30"/>
      <c r="I38" s="14"/>
      <c r="J38" s="14"/>
      <c r="K38" s="30"/>
      <c r="L38" s="30"/>
      <c r="M38" s="30"/>
      <c r="N38" s="30"/>
      <c r="O38" s="30"/>
      <c r="P38" s="30"/>
      <c r="Q38" s="30"/>
      <c r="R38" s="30"/>
      <c r="S38" s="30"/>
    </row>
    <row r="39" spans="1:19" x14ac:dyDescent="0.3">
      <c r="A39" s="30"/>
      <c r="B39" s="48">
        <v>45552</v>
      </c>
      <c r="C39" s="26" t="s">
        <v>198</v>
      </c>
      <c r="D39" s="28">
        <v>13</v>
      </c>
      <c r="E39" s="30"/>
      <c r="F39" s="12"/>
      <c r="G39" s="12"/>
      <c r="H39" s="30"/>
      <c r="I39" s="12"/>
      <c r="J39" s="12"/>
      <c r="K39" s="30"/>
      <c r="L39" s="30"/>
      <c r="M39" s="30"/>
      <c r="N39" s="30"/>
      <c r="O39" s="30"/>
      <c r="P39" s="30"/>
      <c r="Q39" s="30"/>
      <c r="R39" s="30"/>
      <c r="S39" s="30"/>
    </row>
    <row r="40" spans="1:19" x14ac:dyDescent="0.3">
      <c r="A40" s="30"/>
      <c r="B40" s="48">
        <v>45553</v>
      </c>
      <c r="C40" s="26" t="s">
        <v>199</v>
      </c>
      <c r="D40" s="28">
        <v>14</v>
      </c>
      <c r="E40" s="12"/>
      <c r="F40" s="12"/>
      <c r="G40" s="12"/>
      <c r="H40" s="30"/>
      <c r="I40" s="12"/>
      <c r="J40" s="12"/>
      <c r="K40" s="30"/>
      <c r="L40" s="30"/>
      <c r="M40" s="30"/>
      <c r="N40" s="30"/>
      <c r="O40" s="30"/>
      <c r="P40" s="30"/>
      <c r="Q40" s="30"/>
      <c r="R40" s="30"/>
      <c r="S40" s="30"/>
    </row>
    <row r="41" spans="1:19" x14ac:dyDescent="0.3">
      <c r="A41" s="30"/>
      <c r="B41" s="48">
        <v>45568</v>
      </c>
      <c r="C41" s="26" t="s">
        <v>200</v>
      </c>
      <c r="D41" s="28">
        <v>15</v>
      </c>
      <c r="E41" s="34"/>
      <c r="F41" s="34"/>
      <c r="G41" s="34"/>
      <c r="H41" s="34"/>
      <c r="I41" s="12"/>
      <c r="J41" s="12"/>
      <c r="K41" s="30"/>
      <c r="L41" s="30"/>
      <c r="M41" s="30"/>
      <c r="N41" s="30"/>
      <c r="O41" s="30"/>
      <c r="P41" s="30"/>
      <c r="Q41" s="30"/>
      <c r="R41" s="30"/>
      <c r="S41" s="30"/>
    </row>
    <row r="42" spans="1:19" x14ac:dyDescent="0.3">
      <c r="A42" s="30"/>
      <c r="B42" s="48">
        <v>45574</v>
      </c>
      <c r="C42" s="26" t="s">
        <v>201</v>
      </c>
      <c r="D42" s="28">
        <v>16</v>
      </c>
      <c r="E42" s="34"/>
      <c r="F42" s="34"/>
      <c r="G42" s="34"/>
      <c r="H42" s="34"/>
      <c r="I42" s="12"/>
      <c r="J42" s="12"/>
      <c r="K42" s="30"/>
      <c r="L42" s="30"/>
      <c r="M42" s="30"/>
      <c r="N42" s="30"/>
      <c r="O42" s="30"/>
      <c r="P42" s="30"/>
      <c r="Q42" s="30"/>
      <c r="R42" s="30"/>
      <c r="S42" s="30"/>
    </row>
    <row r="43" spans="1:19" x14ac:dyDescent="0.3">
      <c r="A43" s="12"/>
      <c r="B43" s="49">
        <v>45651</v>
      </c>
      <c r="C43" s="32" t="s">
        <v>202</v>
      </c>
      <c r="D43" s="67">
        <v>17</v>
      </c>
      <c r="E43" s="27"/>
      <c r="F43" s="27"/>
      <c r="G43" s="27"/>
      <c r="H43" s="30"/>
      <c r="I43" s="12"/>
      <c r="J43" s="12"/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3">
      <c r="A44" s="12"/>
      <c r="B44" s="26"/>
      <c r="C44" s="26"/>
      <c r="D44" s="26"/>
      <c r="E44" s="30"/>
      <c r="F44" s="30"/>
      <c r="G44" s="30"/>
      <c r="H44" s="30"/>
      <c r="I44" s="12"/>
      <c r="J44" s="12"/>
      <c r="K44" s="30"/>
      <c r="L44" s="14"/>
      <c r="M44" s="14"/>
      <c r="N44" s="14"/>
      <c r="O44" s="14"/>
      <c r="P44" s="14"/>
      <c r="Q44" s="14"/>
      <c r="R44" s="14"/>
      <c r="S44" s="14"/>
    </row>
    <row r="45" spans="1:19" x14ac:dyDescent="0.3">
      <c r="A45" s="12"/>
      <c r="B45" s="26"/>
      <c r="C45" s="26"/>
      <c r="D45" s="26"/>
      <c r="E45" s="30"/>
      <c r="F45" s="30"/>
      <c r="G45" s="30"/>
      <c r="H45" s="30"/>
      <c r="I45" s="30"/>
      <c r="J45" s="30"/>
      <c r="K45" s="30"/>
      <c r="L45" s="14"/>
      <c r="M45" s="14"/>
      <c r="N45" s="14"/>
      <c r="O45" s="14"/>
      <c r="P45" s="14"/>
      <c r="Q45" s="14"/>
      <c r="R45" s="14"/>
      <c r="S45" s="14"/>
    </row>
    <row r="46" spans="1:19" x14ac:dyDescent="0.3">
      <c r="A46" s="12"/>
      <c r="B46" s="26"/>
      <c r="C46" s="26"/>
      <c r="D46" s="12"/>
      <c r="E46" s="30"/>
      <c r="F46" s="30"/>
      <c r="G46" s="30"/>
      <c r="H46" s="30"/>
      <c r="I46" s="30"/>
      <c r="J46" s="30"/>
      <c r="K46" s="30"/>
      <c r="L46" s="14"/>
      <c r="M46" s="14"/>
      <c r="N46" s="14"/>
      <c r="O46" s="14"/>
      <c r="P46" s="14"/>
      <c r="Q46" s="14"/>
      <c r="R46" s="14"/>
      <c r="S46" s="14"/>
    </row>
    <row r="47" spans="1:19" x14ac:dyDescent="0.3">
      <c r="A47" s="13"/>
      <c r="B47" s="26"/>
      <c r="C47" s="26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3">
      <c r="A48" s="23"/>
      <c r="B48" s="24"/>
      <c r="C48" s="24"/>
      <c r="D48" s="2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3">
      <c r="A49" s="23"/>
      <c r="B49" s="23"/>
      <c r="C49" s="23"/>
      <c r="D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3">
      <c r="A50" s="23"/>
      <c r="B50" s="23"/>
      <c r="C50" s="23"/>
      <c r="D50" s="2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A51" s="23"/>
      <c r="B51" s="23"/>
      <c r="C51" s="23"/>
      <c r="D51" s="2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3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3"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</sheetData>
  <mergeCells count="12">
    <mergeCell ref="B2:G2"/>
    <mergeCell ref="B4:B5"/>
    <mergeCell ref="C4:C5"/>
    <mergeCell ref="G4:G5"/>
    <mergeCell ref="B6:B8"/>
    <mergeCell ref="I15:M15"/>
    <mergeCell ref="P15:P16"/>
    <mergeCell ref="I7:J7"/>
    <mergeCell ref="I25:J25"/>
    <mergeCell ref="E25:G25"/>
    <mergeCell ref="P22:P23"/>
    <mergeCell ref="P17:P18"/>
  </mergeCells>
  <phoneticPr fontId="5" type="noConversion"/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2024용역내역(12월)</vt:lpstr>
      <vt:lpstr>2024직접노무비명세(12월)</vt:lpstr>
      <vt:lpstr>'2024용역내역(12월)'!Print_Area</vt:lpstr>
      <vt:lpstr>'2024직접노무비명세(12월)'!Print_Area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2023-10-16T08:23:35Z</cp:lastPrinted>
  <dcterms:created xsi:type="dcterms:W3CDTF">2016-03-16T06:29:00Z</dcterms:created>
  <dcterms:modified xsi:type="dcterms:W3CDTF">2023-10-16T08:23:44Z</dcterms:modified>
</cp:coreProperties>
</file>